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Dropbox (BIWS)\M&amp;I\Webinars\Webinar-2017-01-17\"/>
    </mc:Choice>
  </mc:AlternateContent>
  <bookViews>
    <workbookView xWindow="0" yWindow="0" windowWidth="26535" windowHeight="17355"/>
  </bookViews>
  <sheets>
    <sheet name="LBO-90-Minutes" sheetId="1" r:id="rId1"/>
  </sheets>
  <definedNames>
    <definedName name="Company_Name">'LBO-90-Minutes'!$D$7</definedName>
    <definedName name="EBITDA_Toggle">'LBO-90-Minutes'!$K$9</definedName>
    <definedName name="Hist_Year">'LBO-90-Minutes'!$D$8</definedName>
    <definedName name="LTM_EBITDA">'LBO-90-Minutes'!$K$7</definedName>
    <definedName name="Mgmt_Equity">'LBO-90-Minutes'!$K$21</definedName>
    <definedName name="Mgmt_Pct">'LBO-90-Minutes'!$L$21</definedName>
    <definedName name="Min_Cash_Pct">'LBO-90-Minutes'!$G$133</definedName>
    <definedName name="_xlnm.Print_Area" localSheetId="0">'LBO-90-Minutes'!$A$1:$M$282</definedName>
    <definedName name="Purchase_Multiple">'LBO-90-Minutes'!$K$8</definedName>
    <definedName name="Sponsor_Equity">'LBO-90-Minutes'!$K$22</definedName>
    <definedName name="Sponsor_Pct">'LBO-90-Minutes'!$L$22</definedName>
    <definedName name="Tax_Rate">'LBO-90-Minutes'!$D$9</definedName>
    <definedName name="Total_Equity">'LBO-90-Minutes'!$K$23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8" i="1" l="1"/>
  <c r="J118" i="1"/>
  <c r="K118" i="1"/>
  <c r="L118" i="1"/>
  <c r="I119" i="1"/>
  <c r="I122" i="1" s="1"/>
  <c r="J119" i="1"/>
  <c r="K119" i="1"/>
  <c r="K122" i="1" s="1"/>
  <c r="L119" i="1"/>
  <c r="I120" i="1"/>
  <c r="J120" i="1"/>
  <c r="J122" i="1" s="1"/>
  <c r="K120" i="1"/>
  <c r="L120" i="1"/>
  <c r="L122" i="1"/>
  <c r="H122" i="1"/>
  <c r="H120" i="1"/>
  <c r="H119" i="1"/>
  <c r="H118" i="1"/>
  <c r="I117" i="1"/>
  <c r="J117" i="1"/>
  <c r="K117" i="1"/>
  <c r="L117" i="1"/>
  <c r="H117" i="1"/>
  <c r="I84" i="1"/>
  <c r="J84" i="1"/>
  <c r="K84" i="1"/>
  <c r="L84" i="1"/>
  <c r="I89" i="1"/>
  <c r="I83" i="1" s="1"/>
  <c r="I86" i="1" s="1"/>
  <c r="J89" i="1"/>
  <c r="J83" i="1" s="1"/>
  <c r="J86" i="1" s="1"/>
  <c r="K89" i="1"/>
  <c r="K83" i="1" s="1"/>
  <c r="K86" i="1" s="1"/>
  <c r="L89" i="1"/>
  <c r="L83" i="1" s="1"/>
  <c r="L86" i="1" s="1"/>
  <c r="H81" i="1"/>
  <c r="H80" i="1"/>
  <c r="H87" i="1"/>
  <c r="H86" i="1"/>
  <c r="H84" i="1"/>
  <c r="H83" i="1"/>
  <c r="H89" i="1"/>
  <c r="I97" i="1"/>
  <c r="J97" i="1"/>
  <c r="K97" i="1"/>
  <c r="L97" i="1"/>
  <c r="L99" i="1" s="1"/>
  <c r="I98" i="1"/>
  <c r="I99" i="1" s="1"/>
  <c r="J98" i="1"/>
  <c r="J99" i="1" s="1"/>
  <c r="K98" i="1"/>
  <c r="K99" i="1" s="1"/>
  <c r="L98" i="1"/>
  <c r="H99" i="1"/>
  <c r="H98" i="1"/>
  <c r="H97" i="1"/>
  <c r="I92" i="1"/>
  <c r="J92" i="1"/>
  <c r="K92" i="1"/>
  <c r="L92" i="1"/>
  <c r="I93" i="1"/>
  <c r="J93" i="1"/>
  <c r="K93" i="1"/>
  <c r="L93" i="1"/>
  <c r="H93" i="1"/>
  <c r="H92" i="1"/>
  <c r="I77" i="1"/>
  <c r="J77" i="1"/>
  <c r="K77" i="1"/>
  <c r="L77" i="1"/>
  <c r="H77" i="1"/>
  <c r="H75" i="1"/>
  <c r="I75" i="1"/>
  <c r="J75" i="1"/>
  <c r="K75" i="1"/>
  <c r="L75" i="1"/>
  <c r="I74" i="1"/>
  <c r="J74" i="1"/>
  <c r="K74" i="1"/>
  <c r="L74" i="1"/>
  <c r="H74" i="1"/>
  <c r="I59" i="1"/>
  <c r="J59" i="1"/>
  <c r="K59" i="1"/>
  <c r="L59" i="1"/>
  <c r="H59" i="1"/>
  <c r="L58" i="1"/>
  <c r="K58" i="1"/>
  <c r="J58" i="1"/>
  <c r="I58" i="1"/>
  <c r="H58" i="1"/>
  <c r="L57" i="1"/>
  <c r="K57" i="1"/>
  <c r="J57" i="1"/>
  <c r="I57" i="1"/>
  <c r="H57" i="1"/>
  <c r="L56" i="1"/>
  <c r="K56" i="1"/>
  <c r="J56" i="1"/>
  <c r="I56" i="1"/>
  <c r="H56" i="1"/>
  <c r="L55" i="1"/>
  <c r="K55" i="1"/>
  <c r="J55" i="1"/>
  <c r="I55" i="1"/>
  <c r="H55" i="1"/>
  <c r="L54" i="1"/>
  <c r="K54" i="1"/>
  <c r="J54" i="1"/>
  <c r="I54" i="1"/>
  <c r="H54" i="1"/>
  <c r="I44" i="1"/>
  <c r="J44" i="1"/>
  <c r="K44" i="1"/>
  <c r="L44" i="1"/>
  <c r="H44" i="1"/>
  <c r="H43" i="1"/>
  <c r="I43" i="1" s="1"/>
  <c r="J43" i="1" s="1"/>
  <c r="K43" i="1" s="1"/>
  <c r="L43" i="1" s="1"/>
  <c r="H42" i="1"/>
  <c r="I42" i="1" s="1"/>
  <c r="J42" i="1" s="1"/>
  <c r="K42" i="1" s="1"/>
  <c r="L42" i="1" s="1"/>
  <c r="H41" i="1"/>
  <c r="I41" i="1" s="1"/>
  <c r="J41" i="1" s="1"/>
  <c r="K41" i="1" s="1"/>
  <c r="L41" i="1" s="1"/>
  <c r="H40" i="1"/>
  <c r="I40" i="1" s="1"/>
  <c r="J40" i="1" s="1"/>
  <c r="K40" i="1" s="1"/>
  <c r="L40" i="1" s="1"/>
  <c r="I39" i="1"/>
  <c r="J39" i="1" s="1"/>
  <c r="K39" i="1" s="1"/>
  <c r="L39" i="1" s="1"/>
  <c r="H39" i="1"/>
  <c r="K80" i="1" l="1"/>
  <c r="K81" i="1" s="1"/>
  <c r="K87" i="1"/>
  <c r="I87" i="1"/>
  <c r="I80" i="1"/>
  <c r="I81" i="1" s="1"/>
  <c r="J80" i="1"/>
  <c r="J81" i="1" s="1"/>
  <c r="J87" i="1"/>
  <c r="L80" i="1"/>
  <c r="L81" i="1" s="1"/>
  <c r="L87" i="1"/>
  <c r="C281" i="1" l="1"/>
  <c r="C280" i="1"/>
  <c r="C279" i="1"/>
  <c r="C271" i="1"/>
  <c r="C270" i="1"/>
  <c r="C269" i="1"/>
  <c r="C268" i="1"/>
  <c r="D259" i="1" l="1"/>
  <c r="H258" i="1"/>
  <c r="E258" i="1"/>
  <c r="F83" i="1"/>
  <c r="G83" i="1"/>
  <c r="E83" i="1"/>
  <c r="C219" i="1" l="1"/>
  <c r="C218" i="1"/>
  <c r="C217" i="1"/>
  <c r="C216" i="1"/>
  <c r="D206" i="1" l="1"/>
  <c r="H205" i="1"/>
  <c r="E205" i="1"/>
  <c r="D172" i="1" l="1"/>
  <c r="D130" i="1"/>
  <c r="D115" i="1"/>
  <c r="D102" i="1"/>
  <c r="D72" i="1"/>
  <c r="H171" i="1" l="1"/>
  <c r="E171" i="1"/>
  <c r="D9" i="1"/>
  <c r="G69" i="1"/>
  <c r="F69" i="1"/>
  <c r="E69" i="1"/>
  <c r="F68" i="1"/>
  <c r="G68" i="1"/>
  <c r="E68" i="1"/>
  <c r="G66" i="1" l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C66" i="1"/>
  <c r="C65" i="1"/>
  <c r="C64" i="1"/>
  <c r="C63" i="1"/>
  <c r="C62" i="1"/>
  <c r="F59" i="1"/>
  <c r="G59" i="1"/>
  <c r="E59" i="1"/>
  <c r="C58" i="1"/>
  <c r="C57" i="1"/>
  <c r="C56" i="1"/>
  <c r="C55" i="1"/>
  <c r="C54" i="1"/>
  <c r="C51" i="1"/>
  <c r="C50" i="1"/>
  <c r="C49" i="1"/>
  <c r="C48" i="1"/>
  <c r="C47" i="1"/>
  <c r="G51" i="1"/>
  <c r="F51" i="1"/>
  <c r="G50" i="1"/>
  <c r="F50" i="1"/>
  <c r="G49" i="1"/>
  <c r="F49" i="1"/>
  <c r="G48" i="1"/>
  <c r="F48" i="1"/>
  <c r="F47" i="1"/>
  <c r="G47" i="1"/>
  <c r="F44" i="1"/>
  <c r="G44" i="1"/>
  <c r="E44" i="1"/>
  <c r="G36" i="1"/>
  <c r="H36" i="1" s="1"/>
  <c r="I36" i="1" s="1"/>
  <c r="J36" i="1" s="1"/>
  <c r="K36" i="1" s="1"/>
  <c r="L36" i="1" s="1"/>
  <c r="F90" i="1"/>
  <c r="E90" i="1"/>
  <c r="G86" i="1"/>
  <c r="G87" i="1" s="1"/>
  <c r="F81" i="1"/>
  <c r="E75" i="1"/>
  <c r="G90" i="1"/>
  <c r="E86" i="1"/>
  <c r="E87" i="1" s="1"/>
  <c r="E246" i="1" l="1"/>
  <c r="E234" i="1"/>
  <c r="G117" i="1"/>
  <c r="E117" i="1"/>
  <c r="F36" i="1"/>
  <c r="E36" i="1" s="1"/>
  <c r="K7" i="1"/>
  <c r="G81" i="1"/>
  <c r="E92" i="1"/>
  <c r="E93" i="1" s="1"/>
  <c r="G92" i="1"/>
  <c r="G93" i="1" s="1"/>
  <c r="F86" i="1"/>
  <c r="E81" i="1"/>
  <c r="F117" i="1" l="1"/>
  <c r="F87" i="1"/>
  <c r="F92" i="1"/>
  <c r="F93" i="1" s="1"/>
  <c r="I174" i="1"/>
  <c r="J174" i="1" s="1"/>
  <c r="K174" i="1" s="1"/>
  <c r="L174" i="1" s="1"/>
  <c r="H31" i="1" l="1"/>
  <c r="H114" i="1" l="1"/>
  <c r="E114" i="1"/>
  <c r="C33" i="1" l="1"/>
  <c r="C32" i="1"/>
  <c r="C31" i="1"/>
  <c r="G75" i="1" l="1"/>
  <c r="F75" i="1"/>
  <c r="E78" i="1" l="1"/>
  <c r="G78" i="1"/>
  <c r="F78" i="1"/>
  <c r="H78" i="1" l="1"/>
  <c r="I78" i="1" l="1"/>
  <c r="J78" i="1" l="1"/>
  <c r="K78" i="1" l="1"/>
  <c r="H129" i="1"/>
  <c r="E129" i="1"/>
  <c r="H101" i="1"/>
  <c r="E101" i="1"/>
  <c r="G72" i="1"/>
  <c r="B2" i="1"/>
  <c r="G206" i="1" l="1"/>
  <c r="G259" i="1"/>
  <c r="G115" i="1"/>
  <c r="G172" i="1"/>
  <c r="L78" i="1"/>
  <c r="H72" i="1"/>
  <c r="H259" i="1" s="1"/>
  <c r="G102" i="1"/>
  <c r="G130" i="1"/>
  <c r="F72" i="1"/>
  <c r="F259" i="1" s="1"/>
  <c r="F172" i="1" l="1"/>
  <c r="F206" i="1"/>
  <c r="H172" i="1"/>
  <c r="H206" i="1"/>
  <c r="H115" i="1"/>
  <c r="F115" i="1"/>
  <c r="H130" i="1"/>
  <c r="H102" i="1"/>
  <c r="I72" i="1"/>
  <c r="E72" i="1"/>
  <c r="E259" i="1" s="1"/>
  <c r="F102" i="1"/>
  <c r="F130" i="1"/>
  <c r="I206" i="1" l="1"/>
  <c r="I259" i="1"/>
  <c r="E172" i="1"/>
  <c r="E206" i="1"/>
  <c r="I115" i="1"/>
  <c r="I172" i="1"/>
  <c r="E115" i="1"/>
  <c r="J72" i="1"/>
  <c r="I102" i="1"/>
  <c r="I130" i="1"/>
  <c r="E102" i="1"/>
  <c r="E130" i="1"/>
  <c r="J206" i="1" l="1"/>
  <c r="J259" i="1"/>
  <c r="J115" i="1"/>
  <c r="J172" i="1"/>
  <c r="K72" i="1"/>
  <c r="J102" i="1"/>
  <c r="J130" i="1"/>
  <c r="K206" i="1" l="1"/>
  <c r="K259" i="1"/>
  <c r="K115" i="1"/>
  <c r="K172" i="1"/>
  <c r="L72" i="1"/>
  <c r="K102" i="1"/>
  <c r="K130" i="1"/>
  <c r="L206" i="1" l="1"/>
  <c r="L259" i="1"/>
  <c r="L115" i="1"/>
  <c r="L172" i="1"/>
  <c r="L130" i="1"/>
  <c r="L102" i="1"/>
</calcChain>
</file>

<file path=xl/sharedStrings.xml><?xml version="1.0" encoding="utf-8"?>
<sst xmlns="http://schemas.openxmlformats.org/spreadsheetml/2006/main" count="345" uniqueCount="173">
  <si>
    <t>General Assumptions:</t>
  </si>
  <si>
    <t>Company Name:</t>
  </si>
  <si>
    <t>Last Historical Year:</t>
  </si>
  <si>
    <t>Sources &amp; Uses Schedule:</t>
  </si>
  <si>
    <t>Historical</t>
  </si>
  <si>
    <t>Projected</t>
  </si>
  <si>
    <t>Total Sales:</t>
  </si>
  <si>
    <t>% Growth</t>
  </si>
  <si>
    <t>Gross Profit:</t>
  </si>
  <si>
    <t>Gross Margin</t>
  </si>
  <si>
    <t>EBITDA Margin:</t>
  </si>
  <si>
    <t>Depreciation &amp; Amortization:</t>
  </si>
  <si>
    <t>D&amp;A % Sales</t>
  </si>
  <si>
    <t>EBIT Margin:</t>
  </si>
  <si>
    <t>Taxable Profit Before Tax:</t>
  </si>
  <si>
    <t>Debt Schedule:</t>
  </si>
  <si>
    <t>Senior Term Loan A:</t>
  </si>
  <si>
    <t>Senior Term Loan B:</t>
  </si>
  <si>
    <t>Numerical Year:</t>
  </si>
  <si>
    <t>(-) Net Debt:</t>
  </si>
  <si>
    <t>Sponsor Equity:</t>
  </si>
  <si>
    <t>Total Sources:</t>
  </si>
  <si>
    <t>Total Uses:</t>
  </si>
  <si>
    <t>Threshold</t>
  </si>
  <si>
    <t>Retrocession to Management:</t>
  </si>
  <si>
    <t>PIK</t>
  </si>
  <si>
    <t>N/A</t>
  </si>
  <si>
    <t>Debt Tranche Name:</t>
  </si>
  <si>
    <t>Revolver:</t>
  </si>
  <si>
    <t>Rate:</t>
  </si>
  <si>
    <t>LIBOR</t>
  </si>
  <si>
    <t>Spread:</t>
  </si>
  <si>
    <t>Margin:</t>
  </si>
  <si>
    <t>Annual</t>
  </si>
  <si>
    <t>Amortization:</t>
  </si>
  <si>
    <t>(Amounts in EUR Millions Unless Otherwise Stated)</t>
  </si>
  <si>
    <t>Mezzanine:</t>
  </si>
  <si>
    <t>Transaction Fees:</t>
  </si>
  <si>
    <t>EUR m</t>
  </si>
  <si>
    <t>x EBITDA</t>
  </si>
  <si>
    <t>Purchase Enterprise Value:</t>
  </si>
  <si>
    <t>Debt Assumptions:</t>
  </si>
  <si>
    <t>LTM EBITDA:</t>
  </si>
  <si>
    <t>Purchase EV / EBITDA Multiple:</t>
  </si>
  <si>
    <t>EBITDA:</t>
  </si>
  <si>
    <t>Uses of Funds:</t>
  </si>
  <si>
    <t>SG&amp;A:</t>
  </si>
  <si>
    <t>% Sales:</t>
  </si>
  <si>
    <t>EBIT:</t>
  </si>
  <si>
    <t>Profit Before Tax:</t>
  </si>
  <si>
    <t>Net Income:</t>
  </si>
  <si>
    <t>Fromageries Bel</t>
  </si>
  <si>
    <t>BoP Net Operating Losses (NOLs):</t>
  </si>
  <si>
    <t>Tax and NOL Schedule:</t>
  </si>
  <si>
    <t>Statement of Profit &amp; Loss:</t>
  </si>
  <si>
    <t>% Sources</t>
  </si>
  <si>
    <t>Sources of Funds:</t>
  </si>
  <si>
    <t>(-) Capital Expenditures:</t>
  </si>
  <si>
    <t>(+/-) Change in Working Capital:</t>
  </si>
  <si>
    <t>(-) Cash Taxes:</t>
  </si>
  <si>
    <t>(-) Cash Interest:</t>
  </si>
  <si>
    <t>Free Cash Flow (FCF):</t>
  </si>
  <si>
    <t>Cash Flow Projections:</t>
  </si>
  <si>
    <t>Cash - Beginning of Period:</t>
  </si>
  <si>
    <t>Debt (Repayment) / Drawdown:</t>
  </si>
  <si>
    <t>Cash - End of Period:</t>
  </si>
  <si>
    <t>Americas &amp; Asia-Pacific:</t>
  </si>
  <si>
    <t>Western Europe:</t>
  </si>
  <si>
    <t>Revenue:</t>
  </si>
  <si>
    <t>East &amp; Northern Europe:</t>
  </si>
  <si>
    <t>Greater Africa:</t>
  </si>
  <si>
    <t>Near &amp; Middle East:</t>
  </si>
  <si>
    <t>Total Revenue:</t>
  </si>
  <si>
    <t>Revenue Growth Rates:</t>
  </si>
  <si>
    <t>Operating Income:</t>
  </si>
  <si>
    <t>Total Operating Income (EBIT):</t>
  </si>
  <si>
    <t>Operating Margins:</t>
  </si>
  <si>
    <t>Equity:</t>
  </si>
  <si>
    <t>Equity Contribution Details:</t>
  </si>
  <si>
    <t>Total Equity Contribution:</t>
  </si>
  <si>
    <t>Management:</t>
  </si>
  <si>
    <t>Shareholder Loan (Sponsor Only):</t>
  </si>
  <si>
    <t>%</t>
  </si>
  <si>
    <t>Units:</t>
  </si>
  <si>
    <t>Interest</t>
  </si>
  <si>
    <t>Floor:</t>
  </si>
  <si>
    <t>Fixed</t>
  </si>
  <si>
    <t>Revenue, Expenses, and Cash Flow:</t>
  </si>
  <si>
    <t>CapEx % Sales:</t>
  </si>
  <si>
    <t>Change in WC % Change in Sales:</t>
  </si>
  <si>
    <t>Cash Taxes:</t>
  </si>
  <si>
    <t>(-) Contractual Repayments:</t>
  </si>
  <si>
    <t>EoP Senior Term Loan A:</t>
  </si>
  <si>
    <t>BoP Senior Term Loan A:</t>
  </si>
  <si>
    <t>Interest:</t>
  </si>
  <si>
    <t>LIBOR:</t>
  </si>
  <si>
    <t>EoP Senior Term Loan B:</t>
  </si>
  <si>
    <t>BoP Senior Term Loan B:</t>
  </si>
  <si>
    <t>EoP Mezzanine:</t>
  </si>
  <si>
    <t>BoP Mezzanine:</t>
  </si>
  <si>
    <t>Cash Interest:</t>
  </si>
  <si>
    <t>(+) PIK Interest:</t>
  </si>
  <si>
    <t>Total:</t>
  </si>
  <si>
    <t>Total Interest:</t>
  </si>
  <si>
    <t>Tax Rate:</t>
  </si>
  <si>
    <t>(+) NOLs Created:</t>
  </si>
  <si>
    <t>(-) NOLs Used:</t>
  </si>
  <si>
    <t>(+) Free Cash Flow:</t>
  </si>
  <si>
    <t>(-) Contractual Debt Repayments:</t>
  </si>
  <si>
    <t>Cash Flow Surplus / (Shortfall):</t>
  </si>
  <si>
    <t>BoP Revolver:</t>
  </si>
  <si>
    <t>Revolver (Repayments) / Drawdowns:</t>
  </si>
  <si>
    <t>EoP Revolver:</t>
  </si>
  <si>
    <t>(-) Minimum Cash:</t>
  </si>
  <si>
    <t>Minimum Cash % SG&amp;A:</t>
  </si>
  <si>
    <t>(+) Debt Drawdown / (-) Repayment:</t>
  </si>
  <si>
    <t>EoP Net Operating Losses (NOLs):</t>
  </si>
  <si>
    <t>(x) Exit Multiple:</t>
  </si>
  <si>
    <t>Exit Equity Value:</t>
  </si>
  <si>
    <t>Exit Enterprise Value:</t>
  </si>
  <si>
    <t>BoP Shareholder Loan:</t>
  </si>
  <si>
    <t>(+) Shareholder Loan Interest:</t>
  </si>
  <si>
    <t>EoP Shareholder Loan:</t>
  </si>
  <si>
    <t>(-) Debt Interest Expense:</t>
  </si>
  <si>
    <t>(-) Shareholder Loan Interest Expense:</t>
  </si>
  <si>
    <t>(-) Taxes:</t>
  </si>
  <si>
    <t>Project-Level Returns:</t>
  </si>
  <si>
    <t>IRR:</t>
  </si>
  <si>
    <t>Multiple:</t>
  </si>
  <si>
    <t>(+) Shareholder Loan Proceeds:</t>
  </si>
  <si>
    <t>(+) Other Equity Proceeds:</t>
  </si>
  <si>
    <t>(+) Equity Proceeds:</t>
  </si>
  <si>
    <t>#</t>
  </si>
  <si>
    <t>x</t>
  </si>
  <si>
    <t>Proceeds:</t>
  </si>
  <si>
    <t>Profit:</t>
  </si>
  <si>
    <t>Marginal</t>
  </si>
  <si>
    <t>Returns (Post-Management Package):</t>
  </si>
  <si>
    <t>Returns (Pre-Management Package):</t>
  </si>
  <si>
    <t>Equity</t>
  </si>
  <si>
    <t>Management Incentive at</t>
  </si>
  <si>
    <t>Multiples of Invested Equity:</t>
  </si>
  <si>
    <t>Tier 1:</t>
  </si>
  <si>
    <t>Tier 2:</t>
  </si>
  <si>
    <t>Tier 3:</t>
  </si>
  <si>
    <t>Tier 4:</t>
  </si>
  <si>
    <t>Total Additional Proceeds to Management:</t>
  </si>
  <si>
    <t>Post-Management Proceeds:</t>
  </si>
  <si>
    <t>Sponsor Returns Post-Management Package:</t>
  </si>
  <si>
    <t>Management Returns Post-Management Package:</t>
  </si>
  <si>
    <t>Sensitivity Tables - Sponsor Returns Post-Management Package:</t>
  </si>
  <si>
    <t>Annual EBITDA Performance Relative to Plan:</t>
  </si>
  <si>
    <t>Baseline EBITDA:</t>
  </si>
  <si>
    <t>Performance vs. Plan:</t>
  </si>
  <si>
    <t>Annual EBITDA Performance vs. Plan:</t>
  </si>
  <si>
    <t>EBITDA Achieved:</t>
  </si>
  <si>
    <t>Pre-Management Package Sponsor Returns:</t>
  </si>
  <si>
    <t>Pre-Management Package Management Returns:</t>
  </si>
  <si>
    <t>Value Creation Analysis:</t>
  </si>
  <si>
    <t>EBITDA Growth:</t>
  </si>
  <si>
    <t>Multiple Expansion:</t>
  </si>
  <si>
    <t>Debt Paydown and Cash Generation:</t>
  </si>
  <si>
    <t>Total Equity Return:</t>
  </si>
  <si>
    <t>Value Creation in EUR:</t>
  </si>
  <si>
    <t>Value Creation in %:</t>
  </si>
  <si>
    <t>EBITDA Creation in EUR:</t>
  </si>
  <si>
    <t>Sales Growth:</t>
  </si>
  <si>
    <t>Margin Expansion:</t>
  </si>
  <si>
    <t>Total EBITDA Growth:</t>
  </si>
  <si>
    <t>EBITDA Creation in %:</t>
  </si>
  <si>
    <t>Ownership Details:</t>
  </si>
  <si>
    <t>Sponsor:</t>
  </si>
  <si>
    <t>Total Equity: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</si>
</sst>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(* #,##0.00_);_(* \(#,##0.00\);_(* &quot;-&quot;??_);_(@_)"/>
    <numFmt numFmtId="164" formatCode="yyyy\-mm\-dd"/>
    <numFmt numFmtId="165" formatCode="_(* #,##0.00%;_(* \(#,##0.00%\);_(* &quot;- %&quot;_);_(* @_%_)"/>
    <numFmt numFmtId="166" formatCode="_(* #,##0.0_);_(* \(#,##0.0\);_(* &quot;-&quot;?_);_(@_)"/>
    <numFmt numFmtId="167" formatCode="_([$€-2]\ * #,##0.0_);_([$€-2]\ * \(#,##0.0\);_([$€-2]\ * &quot;-&quot;?_);_(@_)"/>
    <numFmt numFmtId="168" formatCode="_(* #,##0.0%;_(* \(#,##0.0%\);_(* &quot;- %&quot;_);_(* @_%_)"/>
    <numFmt numFmtId="169" formatCode="* _(##,##0.0_);[Red]* \(##,##0.0\);* _(&quot;-&quot;?_);_(@_)"/>
    <numFmt numFmtId="170" formatCode="_(* #,##0.0\x;_(* \(#,##0.0\x\);_(* &quot;- x&quot;_);_(* @_%_)"/>
    <numFmt numFmtId="171" formatCode="&quot;FY&quot;yy"/>
    <numFmt numFmtId="172" formatCode="0.0\ \x"/>
    <numFmt numFmtId="173" formatCode="0.00\ \x"/>
    <numFmt numFmtId="174" formatCode="0.0%;\(0.0%\)"/>
    <numFmt numFmtId="175" formatCode="0.00\ \x;\(0.00\ \x\)"/>
    <numFmt numFmtId="176" formatCode="0.0%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i/>
      <sz val="12"/>
      <color rgb="FFFFFFFF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FFFFFF"/>
      <name val="Calibri"/>
      <family val="2"/>
      <scheme val="minor"/>
    </font>
    <font>
      <sz val="10"/>
      <name val="Arial"/>
      <family val="2"/>
    </font>
    <font>
      <i/>
      <sz val="12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1F497D"/>
        <bgColor indexed="64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 style="thin">
        <color rgb="FF000000"/>
      </top>
      <bottom/>
      <diagonal/>
    </border>
    <border>
      <left style="thin">
        <color rgb="FFB2B2B2"/>
      </left>
      <right/>
      <top style="thin">
        <color rgb="FFB2B2B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rgb="FFFFFFFF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auto="1"/>
      </bottom>
      <diagonal/>
    </border>
  </borders>
  <cellStyleXfs count="3">
    <xf numFmtId="0" fontId="0" fillId="0" borderId="0"/>
    <xf numFmtId="0" fontId="4" fillId="2" borderId="1" applyNumberFormat="0" applyFont="0" applyAlignment="0" applyProtection="0"/>
    <xf numFmtId="0" fontId="17" fillId="0" borderId="0"/>
  </cellStyleXfs>
  <cellXfs count="155">
    <xf numFmtId="0" fontId="0" fillId="0" borderId="0" xfId="0"/>
    <xf numFmtId="171" fontId="5" fillId="6" borderId="2" xfId="0" applyNumberFormat="1" applyFont="1" applyFill="1" applyBorder="1" applyAlignment="1">
      <alignment horizontal="center"/>
    </xf>
    <xf numFmtId="171" fontId="5" fillId="6" borderId="5" xfId="0" applyNumberFormat="1" applyFont="1" applyFill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7" fillId="3" borderId="2" xfId="0" applyFont="1" applyFill="1" applyBorder="1"/>
    <xf numFmtId="0" fontId="8" fillId="3" borderId="2" xfId="0" applyFont="1" applyFill="1" applyBorder="1"/>
    <xf numFmtId="0" fontId="9" fillId="3" borderId="2" xfId="0" applyFont="1" applyFill="1" applyBorder="1"/>
    <xf numFmtId="0" fontId="8" fillId="3" borderId="2" xfId="0" applyFont="1" applyFill="1" applyBorder="1" applyAlignment="1"/>
    <xf numFmtId="0" fontId="3" fillId="0" borderId="0" xfId="0" applyFont="1" applyBorder="1" applyAlignment="1"/>
    <xf numFmtId="164" fontId="10" fillId="5" borderId="1" xfId="1" applyNumberFormat="1" applyFont="1" applyFill="1" applyAlignment="1">
      <alignment horizontal="center"/>
    </xf>
    <xf numFmtId="0" fontId="3" fillId="0" borderId="0" xfId="0" applyFont="1" applyFill="1" applyBorder="1" applyAlignment="1"/>
    <xf numFmtId="0" fontId="6" fillId="4" borderId="2" xfId="0" applyFont="1" applyFill="1" applyBorder="1"/>
    <xf numFmtId="0" fontId="3" fillId="4" borderId="2" xfId="0" applyFont="1" applyFill="1" applyBorder="1"/>
    <xf numFmtId="0" fontId="3" fillId="0" borderId="0" xfId="0" applyFont="1" applyAlignment="1">
      <alignment horizontal="left" indent="1"/>
    </xf>
    <xf numFmtId="167" fontId="3" fillId="0" borderId="0" xfId="0" applyNumberFormat="1" applyFont="1"/>
    <xf numFmtId="166" fontId="3" fillId="0" borderId="0" xfId="0" applyNumberFormat="1" applyFont="1"/>
    <xf numFmtId="168" fontId="10" fillId="5" borderId="1" xfId="1" applyNumberFormat="1" applyFont="1" applyFill="1"/>
    <xf numFmtId="0" fontId="10" fillId="0" borderId="0" xfId="0" applyFont="1" applyAlignment="1">
      <alignment horizontal="center"/>
    </xf>
    <xf numFmtId="0" fontId="6" fillId="4" borderId="0" xfId="0" applyFont="1" applyFill="1" applyBorder="1"/>
    <xf numFmtId="165" fontId="10" fillId="5" borderId="1" xfId="1" applyNumberFormat="1" applyFont="1" applyFill="1"/>
    <xf numFmtId="0" fontId="7" fillId="6" borderId="0" xfId="0" applyFont="1" applyFill="1" applyBorder="1"/>
    <xf numFmtId="0" fontId="8" fillId="6" borderId="0" xfId="0" applyFont="1" applyFill="1" applyBorder="1"/>
    <xf numFmtId="0" fontId="9" fillId="6" borderId="0" xfId="0" applyFont="1" applyFill="1" applyBorder="1"/>
    <xf numFmtId="0" fontId="7" fillId="6" borderId="3" xfId="0" applyFont="1" applyFill="1" applyBorder="1" applyAlignment="1">
      <alignment horizontal="centerContinuous"/>
    </xf>
    <xf numFmtId="0" fontId="8" fillId="6" borderId="3" xfId="0" applyFont="1" applyFill="1" applyBorder="1" applyAlignment="1">
      <alignment horizontal="centerContinuous"/>
    </xf>
    <xf numFmtId="0" fontId="7" fillId="6" borderId="6" xfId="0" applyFont="1" applyFill="1" applyBorder="1" applyAlignment="1">
      <alignment horizontal="centerContinuous"/>
    </xf>
    <xf numFmtId="0" fontId="9" fillId="6" borderId="3" xfId="0" applyFont="1" applyFill="1" applyBorder="1" applyAlignment="1">
      <alignment horizontal="centerContinuous"/>
    </xf>
    <xf numFmtId="0" fontId="8" fillId="6" borderId="2" xfId="0" applyFont="1" applyFill="1" applyBorder="1"/>
    <xf numFmtId="0" fontId="3" fillId="0" borderId="7" xfId="0" applyFont="1" applyBorder="1"/>
    <xf numFmtId="167" fontId="10" fillId="0" borderId="0" xfId="0" applyNumberFormat="1" applyFont="1"/>
    <xf numFmtId="167" fontId="10" fillId="0" borderId="0" xfId="0" applyNumberFormat="1" applyFont="1" applyBorder="1"/>
    <xf numFmtId="0" fontId="13" fillId="0" borderId="0" xfId="0" applyFont="1" applyAlignment="1">
      <alignment horizontal="left" indent="1"/>
    </xf>
    <xf numFmtId="168" fontId="13" fillId="0" borderId="0" xfId="0" applyNumberFormat="1" applyFont="1"/>
    <xf numFmtId="168" fontId="13" fillId="0" borderId="0" xfId="0" applyNumberFormat="1" applyFont="1" applyBorder="1"/>
    <xf numFmtId="166" fontId="10" fillId="0" borderId="0" xfId="0" applyNumberFormat="1" applyFont="1"/>
    <xf numFmtId="166" fontId="3" fillId="0" borderId="0" xfId="0" applyNumberFormat="1" applyFont="1" applyBorder="1"/>
    <xf numFmtId="0" fontId="3" fillId="0" borderId="0" xfId="0" applyFont="1" applyAlignment="1">
      <alignment horizontal="left"/>
    </xf>
    <xf numFmtId="166" fontId="10" fillId="0" borderId="0" xfId="0" applyNumberFormat="1" applyFont="1" applyBorder="1"/>
    <xf numFmtId="0" fontId="3" fillId="0" borderId="2" xfId="0" applyFont="1" applyBorder="1"/>
    <xf numFmtId="0" fontId="3" fillId="0" borderId="0" xfId="0" applyFont="1" applyBorder="1"/>
    <xf numFmtId="166" fontId="3" fillId="0" borderId="2" xfId="0" applyNumberFormat="1" applyFont="1" applyBorder="1"/>
    <xf numFmtId="0" fontId="6" fillId="0" borderId="0" xfId="0" applyFont="1" applyFill="1" applyBorder="1"/>
    <xf numFmtId="167" fontId="6" fillId="0" borderId="0" xfId="0" applyNumberFormat="1" applyFont="1"/>
    <xf numFmtId="167" fontId="6" fillId="0" borderId="0" xfId="0" applyNumberFormat="1" applyFont="1" applyBorder="1"/>
    <xf numFmtId="0" fontId="7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3" fillId="0" borderId="0" xfId="0" applyNumberFormat="1" applyFont="1" applyBorder="1" applyAlignment="1"/>
    <xf numFmtId="169" fontId="10" fillId="0" borderId="0" xfId="0" applyNumberFormat="1" applyFont="1"/>
    <xf numFmtId="0" fontId="6" fillId="0" borderId="0" xfId="0" applyFont="1" applyAlignment="1">
      <alignment horizontal="left" indent="1"/>
    </xf>
    <xf numFmtId="0" fontId="6" fillId="4" borderId="0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0" fontId="6" fillId="0" borderId="7" xfId="0" applyFont="1" applyFill="1" applyBorder="1" applyAlignment="1">
      <alignment horizontal="left"/>
    </xf>
    <xf numFmtId="167" fontId="6" fillId="0" borderId="7" xfId="0" applyNumberFormat="1" applyFont="1" applyBorder="1"/>
    <xf numFmtId="170" fontId="6" fillId="0" borderId="7" xfId="0" applyNumberFormat="1" applyFont="1" applyBorder="1"/>
    <xf numFmtId="172" fontId="10" fillId="5" borderId="1" xfId="0" applyNumberFormat="1" applyFont="1" applyFill="1" applyBorder="1"/>
    <xf numFmtId="0" fontId="7" fillId="6" borderId="2" xfId="0" applyFont="1" applyFill="1" applyBorder="1"/>
    <xf numFmtId="166" fontId="3" fillId="0" borderId="7" xfId="0" applyNumberFormat="1" applyFont="1" applyBorder="1"/>
    <xf numFmtId="169" fontId="10" fillId="5" borderId="9" xfId="1" applyNumberFormat="1" applyFont="1" applyFill="1" applyBorder="1"/>
    <xf numFmtId="0" fontId="6" fillId="0" borderId="7" xfId="0" applyFont="1" applyBorder="1"/>
    <xf numFmtId="172" fontId="14" fillId="0" borderId="7" xfId="0" applyNumberFormat="1" applyFont="1" applyFill="1" applyBorder="1"/>
    <xf numFmtId="172" fontId="14" fillId="0" borderId="2" xfId="0" applyNumberFormat="1" applyFont="1" applyFill="1" applyBorder="1"/>
    <xf numFmtId="172" fontId="15" fillId="0" borderId="7" xfId="0" applyNumberFormat="1" applyFont="1" applyFill="1" applyBorder="1"/>
    <xf numFmtId="166" fontId="6" fillId="0" borderId="7" xfId="0" applyNumberFormat="1" applyFont="1" applyBorder="1"/>
    <xf numFmtId="168" fontId="10" fillId="0" borderId="0" xfId="0" applyNumberFormat="1" applyFont="1" applyBorder="1"/>
    <xf numFmtId="168" fontId="3" fillId="0" borderId="0" xfId="0" applyNumberFormat="1" applyFont="1"/>
    <xf numFmtId="168" fontId="10" fillId="5" borderId="1" xfId="1" applyNumberFormat="1" applyFont="1" applyFill="1" applyBorder="1"/>
    <xf numFmtId="167" fontId="14" fillId="0" borderId="0" xfId="0" applyNumberFormat="1" applyFont="1" applyBorder="1"/>
    <xf numFmtId="166" fontId="14" fillId="0" borderId="0" xfId="0" applyNumberFormat="1" applyFont="1" applyBorder="1"/>
    <xf numFmtId="0" fontId="10" fillId="5" borderId="1" xfId="1" applyFont="1" applyFill="1" applyAlignment="1">
      <alignment horizontal="centerContinuous"/>
    </xf>
    <xf numFmtId="166" fontId="3" fillId="0" borderId="10" xfId="0" applyNumberFormat="1" applyFont="1" applyBorder="1"/>
    <xf numFmtId="168" fontId="10" fillId="5" borderId="4" xfId="1" applyNumberFormat="1" applyFont="1" applyFill="1" applyBorder="1"/>
    <xf numFmtId="168" fontId="6" fillId="0" borderId="0" xfId="0" applyNumberFormat="1" applyFont="1" applyBorder="1"/>
    <xf numFmtId="0" fontId="12" fillId="0" borderId="7" xfId="0" applyFont="1" applyBorder="1" applyAlignment="1">
      <alignment horizontal="center"/>
    </xf>
    <xf numFmtId="168" fontId="11" fillId="0" borderId="8" xfId="1" applyNumberFormat="1" applyFont="1" applyFill="1" applyBorder="1"/>
    <xf numFmtId="168" fontId="11" fillId="0" borderId="11" xfId="1" applyNumberFormat="1" applyFont="1" applyFill="1" applyBorder="1"/>
    <xf numFmtId="172" fontId="14" fillId="0" borderId="12" xfId="0" applyNumberFormat="1" applyFont="1" applyFill="1" applyBorder="1"/>
    <xf numFmtId="166" fontId="3" fillId="5" borderId="4" xfId="1" applyNumberFormat="1" applyFont="1" applyFill="1" applyBorder="1"/>
    <xf numFmtId="168" fontId="3" fillId="0" borderId="2" xfId="1" applyNumberFormat="1" applyFont="1" applyFill="1" applyBorder="1" applyAlignment="1"/>
    <xf numFmtId="0" fontId="16" fillId="6" borderId="2" xfId="0" applyFont="1" applyFill="1" applyBorder="1" applyAlignment="1">
      <alignment horizontal="center"/>
    </xf>
    <xf numFmtId="168" fontId="14" fillId="5" borderId="1" xfId="1" applyNumberFormat="1" applyFont="1" applyFill="1"/>
    <xf numFmtId="166" fontId="6" fillId="0" borderId="0" xfId="0" applyNumberFormat="1" applyFont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171" fontId="5" fillId="0" borderId="0" xfId="0" applyNumberFormat="1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6" fillId="0" borderId="7" xfId="0" applyFont="1" applyBorder="1" applyAlignment="1">
      <alignment horizontal="left" indent="1"/>
    </xf>
    <xf numFmtId="169" fontId="14" fillId="5" borderId="9" xfId="1" applyNumberFormat="1" applyFont="1" applyFill="1" applyBorder="1"/>
    <xf numFmtId="0" fontId="14" fillId="0" borderId="0" xfId="0" applyFont="1" applyFill="1" applyBorder="1"/>
    <xf numFmtId="10" fontId="10" fillId="0" borderId="0" xfId="1" applyNumberFormat="1" applyFont="1" applyFill="1" applyBorder="1"/>
    <xf numFmtId="10" fontId="14" fillId="0" borderId="0" xfId="1" applyNumberFormat="1" applyFont="1" applyFill="1" applyBorder="1"/>
    <xf numFmtId="0" fontId="2" fillId="0" borderId="0" xfId="0" applyFont="1" applyBorder="1" applyAlignment="1"/>
    <xf numFmtId="169" fontId="12" fillId="5" borderId="9" xfId="1" applyNumberFormat="1" applyFont="1" applyFill="1" applyBorder="1"/>
    <xf numFmtId="0" fontId="2" fillId="0" borderId="2" xfId="0" applyFont="1" applyBorder="1" applyAlignment="1">
      <alignment horizontal="left" indent="2"/>
    </xf>
    <xf numFmtId="166" fontId="2" fillId="0" borderId="0" xfId="0" applyNumberFormat="1" applyFont="1"/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8" fillId="0" borderId="0" xfId="2" applyFont="1" applyAlignment="1">
      <alignment horizontal="center"/>
    </xf>
    <xf numFmtId="0" fontId="3" fillId="0" borderId="2" xfId="0" applyFont="1" applyBorder="1" applyAlignment="1">
      <alignment horizontal="left" indent="1"/>
    </xf>
    <xf numFmtId="172" fontId="3" fillId="0" borderId="0" xfId="0" applyNumberFormat="1" applyFont="1"/>
    <xf numFmtId="166" fontId="14" fillId="0" borderId="0" xfId="0" applyNumberFormat="1" applyFont="1"/>
    <xf numFmtId="0" fontId="13" fillId="0" borderId="7" xfId="0" applyFont="1" applyBorder="1" applyAlignment="1">
      <alignment horizontal="center"/>
    </xf>
    <xf numFmtId="43" fontId="3" fillId="0" borderId="0" xfId="0" applyNumberFormat="1" applyFont="1"/>
    <xf numFmtId="168" fontId="11" fillId="0" borderId="0" xfId="1" applyNumberFormat="1" applyFont="1" applyFill="1" applyBorder="1"/>
    <xf numFmtId="0" fontId="13" fillId="0" borderId="0" xfId="0" applyFont="1" applyAlignment="1">
      <alignment horizontal="center"/>
    </xf>
    <xf numFmtId="0" fontId="6" fillId="4" borderId="0" xfId="0" applyFont="1" applyFill="1" applyAlignment="1">
      <alignment horizontal="center"/>
    </xf>
    <xf numFmtId="173" fontId="10" fillId="5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left" indent="1"/>
    </xf>
    <xf numFmtId="167" fontId="1" fillId="0" borderId="0" xfId="0" applyNumberFormat="1" applyFont="1"/>
    <xf numFmtId="0" fontId="14" fillId="6" borderId="13" xfId="2" applyFont="1" applyFill="1" applyBorder="1"/>
    <xf numFmtId="0" fontId="14" fillId="6" borderId="14" xfId="2" applyFont="1" applyFill="1" applyBorder="1"/>
    <xf numFmtId="0" fontId="5" fillId="6" borderId="14" xfId="2" applyFont="1" applyFill="1" applyBorder="1" applyAlignment="1">
      <alignment horizontal="centerContinuous"/>
    </xf>
    <xf numFmtId="0" fontId="15" fillId="6" borderId="14" xfId="2" applyFont="1" applyFill="1" applyBorder="1" applyAlignment="1">
      <alignment horizontal="centerContinuous"/>
    </xf>
    <xf numFmtId="0" fontId="15" fillId="6" borderId="15" xfId="2" applyFont="1" applyFill="1" applyBorder="1" applyAlignment="1">
      <alignment horizontal="centerContinuous"/>
    </xf>
    <xf numFmtId="0" fontId="14" fillId="6" borderId="16" xfId="2" applyFont="1" applyFill="1" applyBorder="1"/>
    <xf numFmtId="174" fontId="19" fillId="4" borderId="0" xfId="2" applyNumberFormat="1" applyFont="1" applyFill="1" applyBorder="1"/>
    <xf numFmtId="175" fontId="10" fillId="4" borderId="17" xfId="2" applyNumberFormat="1" applyFont="1" applyFill="1" applyBorder="1" applyAlignment="1">
      <alignment horizontal="center"/>
    </xf>
    <xf numFmtId="43" fontId="14" fillId="0" borderId="0" xfId="0" applyNumberFormat="1" applyFont="1" applyFill="1" applyBorder="1" applyAlignment="1"/>
    <xf numFmtId="43" fontId="15" fillId="0" borderId="0" xfId="0" applyNumberFormat="1" applyFont="1" applyFill="1" applyBorder="1" applyAlignment="1"/>
    <xf numFmtId="175" fontId="14" fillId="4" borderId="17" xfId="2" applyNumberFormat="1" applyFont="1" applyFill="1" applyBorder="1" applyAlignment="1">
      <alignment horizontal="center"/>
    </xf>
    <xf numFmtId="175" fontId="15" fillId="4" borderId="17" xfId="2" applyNumberFormat="1" applyFont="1" applyFill="1" applyBorder="1" applyAlignment="1">
      <alignment horizontal="center"/>
    </xf>
    <xf numFmtId="175" fontId="14" fillId="4" borderId="19" xfId="2" applyNumberFormat="1" applyFont="1" applyFill="1" applyBorder="1" applyAlignment="1">
      <alignment horizontal="center"/>
    </xf>
    <xf numFmtId="175" fontId="10" fillId="4" borderId="14" xfId="2" applyNumberFormat="1" applyFont="1" applyFill="1" applyBorder="1" applyAlignment="1">
      <alignment horizontal="center"/>
    </xf>
    <xf numFmtId="175" fontId="14" fillId="4" borderId="14" xfId="2" applyNumberFormat="1" applyFont="1" applyFill="1" applyBorder="1" applyAlignment="1">
      <alignment horizontal="center"/>
    </xf>
    <xf numFmtId="168" fontId="20" fillId="0" borderId="0" xfId="1" applyNumberFormat="1" applyFont="1" applyFill="1" applyBorder="1"/>
    <xf numFmtId="175" fontId="14" fillId="4" borderId="15" xfId="2" applyNumberFormat="1" applyFont="1" applyFill="1" applyBorder="1" applyAlignment="1">
      <alignment horizontal="center"/>
    </xf>
    <xf numFmtId="175" fontId="15" fillId="4" borderId="14" xfId="2" applyNumberFormat="1" applyFont="1" applyFill="1" applyBorder="1" applyAlignment="1">
      <alignment horizontal="center"/>
    </xf>
    <xf numFmtId="174" fontId="10" fillId="4" borderId="17" xfId="2" applyNumberFormat="1" applyFont="1" applyFill="1" applyBorder="1" applyAlignment="1">
      <alignment horizontal="center"/>
    </xf>
    <xf numFmtId="174" fontId="14" fillId="4" borderId="17" xfId="2" applyNumberFormat="1" applyFont="1" applyFill="1" applyBorder="1" applyAlignment="1">
      <alignment horizontal="center"/>
    </xf>
    <xf numFmtId="174" fontId="15" fillId="4" borderId="17" xfId="2" applyNumberFormat="1" applyFont="1" applyFill="1" applyBorder="1" applyAlignment="1">
      <alignment horizontal="center"/>
    </xf>
    <xf numFmtId="174" fontId="14" fillId="4" borderId="19" xfId="2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168" fontId="1" fillId="0" borderId="0" xfId="0" applyNumberFormat="1" applyFont="1"/>
    <xf numFmtId="176" fontId="10" fillId="5" borderId="1" xfId="1" applyNumberFormat="1" applyFont="1" applyFill="1"/>
    <xf numFmtId="0" fontId="1" fillId="0" borderId="0" xfId="0" applyFont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6" fillId="0" borderId="0" xfId="0" applyFont="1" applyBorder="1"/>
    <xf numFmtId="174" fontId="1" fillId="0" borderId="0" xfId="0" applyNumberFormat="1" applyFont="1"/>
    <xf numFmtId="174" fontId="11" fillId="0" borderId="0" xfId="1" applyNumberFormat="1" applyFont="1" applyFill="1" applyBorder="1"/>
    <xf numFmtId="174" fontId="11" fillId="0" borderId="2" xfId="1" applyNumberFormat="1" applyFont="1" applyFill="1" applyBorder="1"/>
    <xf numFmtId="174" fontId="20" fillId="0" borderId="0" xfId="1" applyNumberFormat="1" applyFont="1" applyFill="1" applyBorder="1"/>
    <xf numFmtId="168" fontId="11" fillId="0" borderId="7" xfId="1" applyNumberFormat="1" applyFont="1" applyFill="1" applyBorder="1"/>
    <xf numFmtId="168" fontId="1" fillId="0" borderId="0" xfId="0" applyNumberFormat="1" applyFont="1" applyBorder="1"/>
    <xf numFmtId="171" fontId="5" fillId="6" borderId="20" xfId="0" applyNumberFormat="1" applyFont="1" applyFill="1" applyBorder="1" applyAlignment="1">
      <alignment horizontal="center"/>
    </xf>
    <xf numFmtId="168" fontId="10" fillId="5" borderId="21" xfId="1" applyNumberFormat="1" applyFont="1" applyFill="1" applyBorder="1"/>
    <xf numFmtId="0" fontId="5" fillId="6" borderId="16" xfId="2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Note" xfId="1" builtinId="10"/>
  </cellStyles>
  <dxfs count="0"/>
  <tableStyles count="0" defaultTableStyle="TableStyleMedium2" defaultPivotStyle="PivotStyleLight16"/>
  <colors>
    <mruColors>
      <color rgb="FF0000FF"/>
      <color rgb="FFFFFF99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M281"/>
  <sheetViews>
    <sheetView showGridLines="0" tabSelected="1" zoomScale="115" zoomScaleNormal="115" workbookViewId="0">
      <selection activeCell="B2" sqref="B2"/>
    </sheetView>
  </sheetViews>
  <sheetFormatPr defaultRowHeight="15.75" outlineLevelRow="1" outlineLevelCol="1" x14ac:dyDescent="0.25"/>
  <cols>
    <col min="1" max="2" width="2.7109375" style="3" customWidth="1"/>
    <col min="3" max="3" width="40.85546875" style="3" customWidth="1"/>
    <col min="4" max="4" width="12.7109375" style="3" customWidth="1"/>
    <col min="5" max="7" width="12.7109375" style="3" customWidth="1" outlineLevel="1"/>
    <col min="8" max="12" width="12.7109375" style="3" customWidth="1"/>
    <col min="13" max="13" width="2.7109375" style="3" customWidth="1"/>
    <col min="14" max="16384" width="9.140625" style="3"/>
  </cols>
  <sheetData>
    <row r="2" spans="2:12" x14ac:dyDescent="0.25">
      <c r="B2" s="4" t="str">
        <f>Company_Name&amp;" - LBO Case Study Model Test"</f>
        <v>Fromageries Bel - LBO Case Study Model Test</v>
      </c>
    </row>
    <row r="3" spans="2:12" x14ac:dyDescent="0.25">
      <c r="B3" s="3" t="s">
        <v>35</v>
      </c>
    </row>
    <row r="5" spans="2:12" x14ac:dyDescent="0.25">
      <c r="B5" s="5" t="s">
        <v>0</v>
      </c>
      <c r="C5" s="6"/>
      <c r="D5" s="7"/>
      <c r="E5" s="8"/>
      <c r="F5" s="8"/>
      <c r="G5" s="8"/>
      <c r="H5" s="8"/>
      <c r="I5" s="7"/>
      <c r="J5" s="8"/>
      <c r="K5" s="8"/>
      <c r="L5" s="8"/>
    </row>
    <row r="6" spans="2:12" outlineLevel="1" x14ac:dyDescent="0.25"/>
    <row r="7" spans="2:12" outlineLevel="1" x14ac:dyDescent="0.25">
      <c r="C7" s="3" t="s">
        <v>1</v>
      </c>
      <c r="D7" s="72" t="s">
        <v>51</v>
      </c>
      <c r="E7" s="72"/>
      <c r="H7" s="3" t="s">
        <v>42</v>
      </c>
      <c r="K7" s="16">
        <f>+G86</f>
        <v>385.6</v>
      </c>
    </row>
    <row r="8" spans="2:12" outlineLevel="1" x14ac:dyDescent="0.25">
      <c r="C8" s="9" t="s">
        <v>2</v>
      </c>
      <c r="D8" s="10">
        <v>42369</v>
      </c>
      <c r="H8" s="3" t="s">
        <v>43</v>
      </c>
      <c r="K8" s="58">
        <v>10</v>
      </c>
    </row>
    <row r="9" spans="2:12" outlineLevel="1" x14ac:dyDescent="0.25">
      <c r="C9" s="97" t="s">
        <v>104</v>
      </c>
      <c r="D9" s="17">
        <f>1/3</f>
        <v>0.33333333333333331</v>
      </c>
      <c r="E9" s="9"/>
      <c r="H9" s="138" t="s">
        <v>154</v>
      </c>
      <c r="I9" s="11"/>
      <c r="J9" s="11"/>
      <c r="K9" s="140">
        <v>0</v>
      </c>
    </row>
    <row r="11" spans="2:12" x14ac:dyDescent="0.25">
      <c r="B11" s="5" t="s">
        <v>3</v>
      </c>
      <c r="C11" s="6"/>
      <c r="D11" s="7"/>
      <c r="E11" s="8"/>
      <c r="F11" s="8"/>
      <c r="G11" s="8"/>
      <c r="H11" s="8"/>
      <c r="I11" s="7"/>
      <c r="J11" s="8"/>
      <c r="K11" s="8"/>
      <c r="L11" s="8"/>
    </row>
    <row r="12" spans="2:12" outlineLevel="1" x14ac:dyDescent="0.25"/>
    <row r="13" spans="2:12" outlineLevel="1" x14ac:dyDescent="0.25">
      <c r="C13" s="12" t="s">
        <v>56</v>
      </c>
      <c r="D13" s="52" t="s">
        <v>38</v>
      </c>
      <c r="E13" s="52" t="s">
        <v>39</v>
      </c>
      <c r="F13" s="51" t="s">
        <v>55</v>
      </c>
      <c r="H13" s="12" t="s">
        <v>45</v>
      </c>
      <c r="I13" s="13"/>
      <c r="J13" s="13"/>
      <c r="K13" s="52" t="s">
        <v>38</v>
      </c>
      <c r="L13" s="52" t="s">
        <v>39</v>
      </c>
    </row>
    <row r="14" spans="2:12" ht="14.45" customHeight="1" outlineLevel="1" x14ac:dyDescent="0.25">
      <c r="C14" s="14" t="s">
        <v>16</v>
      </c>
      <c r="D14" s="15"/>
      <c r="E14" s="58">
        <v>1.5</v>
      </c>
      <c r="F14" s="78"/>
      <c r="H14" s="14" t="s">
        <v>37</v>
      </c>
      <c r="K14" s="30">
        <v>50</v>
      </c>
      <c r="L14" s="63"/>
    </row>
    <row r="15" spans="2:12" ht="14.45" customHeight="1" outlineLevel="1" x14ac:dyDescent="0.25">
      <c r="C15" s="14" t="s">
        <v>17</v>
      </c>
      <c r="D15" s="16"/>
      <c r="E15" s="58">
        <v>1.5</v>
      </c>
      <c r="F15" s="77"/>
      <c r="H15" s="14" t="s">
        <v>40</v>
      </c>
      <c r="K15" s="16"/>
      <c r="L15" s="64"/>
    </row>
    <row r="16" spans="2:12" ht="14.45" customHeight="1" outlineLevel="1" x14ac:dyDescent="0.25">
      <c r="C16" s="14" t="s">
        <v>36</v>
      </c>
      <c r="D16" s="16"/>
      <c r="E16" s="58">
        <v>2</v>
      </c>
      <c r="F16" s="77"/>
      <c r="H16" s="55" t="s">
        <v>22</v>
      </c>
      <c r="I16" s="29"/>
      <c r="J16" s="29"/>
      <c r="K16" s="56"/>
      <c r="L16" s="65"/>
    </row>
    <row r="17" spans="2:12" ht="15" customHeight="1" outlineLevel="1" x14ac:dyDescent="0.25">
      <c r="C17" s="54" t="s">
        <v>77</v>
      </c>
      <c r="D17" s="80"/>
      <c r="E17" s="79"/>
      <c r="F17" s="81"/>
    </row>
    <row r="18" spans="2:12" ht="15" customHeight="1" outlineLevel="1" x14ac:dyDescent="0.25">
      <c r="C18" s="55" t="s">
        <v>21</v>
      </c>
      <c r="D18" s="56"/>
      <c r="E18" s="57"/>
      <c r="F18" s="75"/>
      <c r="K18" s="108"/>
    </row>
    <row r="19" spans="2:12" outlineLevel="1" x14ac:dyDescent="0.25"/>
    <row r="20" spans="2:12" outlineLevel="1" x14ac:dyDescent="0.25">
      <c r="C20" s="12" t="s">
        <v>78</v>
      </c>
      <c r="D20" s="52" t="s">
        <v>38</v>
      </c>
      <c r="E20" s="52" t="s">
        <v>82</v>
      </c>
      <c r="F20" s="52" t="s">
        <v>84</v>
      </c>
      <c r="H20" s="12" t="s">
        <v>170</v>
      </c>
      <c r="I20" s="12"/>
      <c r="J20" s="12"/>
      <c r="K20" s="52" t="s">
        <v>38</v>
      </c>
      <c r="L20" s="52" t="s">
        <v>82</v>
      </c>
    </row>
    <row r="21" spans="2:12" outlineLevel="1" x14ac:dyDescent="0.25">
      <c r="C21" s="14" t="s">
        <v>80</v>
      </c>
      <c r="D21" s="15"/>
      <c r="E21" s="17">
        <v>0.1</v>
      </c>
      <c r="F21" s="18" t="s">
        <v>26</v>
      </c>
      <c r="H21" s="14" t="s">
        <v>80</v>
      </c>
      <c r="K21" s="15"/>
      <c r="L21" s="148"/>
    </row>
    <row r="22" spans="2:12" outlineLevel="1" x14ac:dyDescent="0.25">
      <c r="C22" s="14" t="s">
        <v>20</v>
      </c>
      <c r="D22" s="16"/>
      <c r="E22" s="17">
        <v>0.3</v>
      </c>
      <c r="F22" s="18" t="s">
        <v>26</v>
      </c>
      <c r="H22" s="114" t="s">
        <v>171</v>
      </c>
      <c r="K22" s="16"/>
      <c r="L22" s="81"/>
    </row>
    <row r="23" spans="2:12" outlineLevel="1" x14ac:dyDescent="0.25">
      <c r="C23" s="54" t="s">
        <v>81</v>
      </c>
      <c r="D23" s="73"/>
      <c r="E23" s="151">
        <v>0.6</v>
      </c>
      <c r="F23" s="74">
        <v>0.08</v>
      </c>
      <c r="H23" s="55" t="s">
        <v>172</v>
      </c>
      <c r="I23" s="29"/>
      <c r="J23" s="29"/>
      <c r="K23" s="66"/>
      <c r="L23" s="75"/>
    </row>
    <row r="24" spans="2:12" outlineLevel="1" x14ac:dyDescent="0.25">
      <c r="C24" s="55" t="s">
        <v>79</v>
      </c>
      <c r="D24" s="56"/>
      <c r="E24" s="75"/>
      <c r="F24" s="76"/>
    </row>
    <row r="26" spans="2:12" x14ac:dyDescent="0.25">
      <c r="B26" s="5" t="s">
        <v>41</v>
      </c>
      <c r="C26" s="6"/>
      <c r="D26" s="7"/>
      <c r="E26" s="8"/>
      <c r="F26" s="8"/>
      <c r="G26" s="8"/>
      <c r="H26" s="8"/>
      <c r="I26" s="7"/>
      <c r="J26" s="8"/>
      <c r="K26" s="8"/>
      <c r="L26" s="8"/>
    </row>
    <row r="27" spans="2:12" outlineLevel="1" x14ac:dyDescent="0.25"/>
    <row r="28" spans="2:12" outlineLevel="1" x14ac:dyDescent="0.25">
      <c r="C28" s="19"/>
      <c r="D28" s="51" t="s">
        <v>30</v>
      </c>
      <c r="E28" s="51" t="s">
        <v>30</v>
      </c>
      <c r="F28" s="51" t="s">
        <v>86</v>
      </c>
      <c r="G28" s="51" t="s">
        <v>25</v>
      </c>
      <c r="H28" s="51" t="s">
        <v>33</v>
      </c>
    </row>
    <row r="29" spans="2:12" outlineLevel="1" x14ac:dyDescent="0.25">
      <c r="C29" s="12" t="s">
        <v>27</v>
      </c>
      <c r="D29" s="52" t="s">
        <v>85</v>
      </c>
      <c r="E29" s="52" t="s">
        <v>31</v>
      </c>
      <c r="F29" s="52" t="s">
        <v>29</v>
      </c>
      <c r="G29" s="52" t="s">
        <v>32</v>
      </c>
      <c r="H29" s="52" t="s">
        <v>34</v>
      </c>
    </row>
    <row r="30" spans="2:12" outlineLevel="1" x14ac:dyDescent="0.25">
      <c r="C30" s="14" t="s">
        <v>28</v>
      </c>
      <c r="D30" s="20">
        <v>1.4999999999999999E-2</v>
      </c>
      <c r="E30" s="20">
        <v>2.5000000000000001E-2</v>
      </c>
      <c r="G30" s="18" t="s">
        <v>26</v>
      </c>
      <c r="H30" s="17" t="s">
        <v>26</v>
      </c>
    </row>
    <row r="31" spans="2:12" outlineLevel="1" x14ac:dyDescent="0.25">
      <c r="C31" s="14" t="str">
        <f>$C$14</f>
        <v>Senior Term Loan A:</v>
      </c>
      <c r="D31" s="20">
        <v>1.4999999999999999E-2</v>
      </c>
      <c r="E31" s="20">
        <v>0.03</v>
      </c>
      <c r="G31" s="18" t="s">
        <v>26</v>
      </c>
      <c r="H31" s="83">
        <f>1/6</f>
        <v>0.16666666666666666</v>
      </c>
    </row>
    <row r="32" spans="2:12" outlineLevel="1" x14ac:dyDescent="0.25">
      <c r="C32" s="14" t="str">
        <f>$C$15</f>
        <v>Senior Term Loan B:</v>
      </c>
      <c r="D32" s="20">
        <v>0.02</v>
      </c>
      <c r="E32" s="20">
        <v>3.5000000000000003E-2</v>
      </c>
      <c r="G32" s="18" t="s">
        <v>26</v>
      </c>
      <c r="H32" s="17" t="s">
        <v>26</v>
      </c>
    </row>
    <row r="33" spans="2:12" outlineLevel="1" x14ac:dyDescent="0.25">
      <c r="C33" s="14" t="str">
        <f>$C$16</f>
        <v>Mezzanine:</v>
      </c>
      <c r="F33" s="20">
        <v>0.05</v>
      </c>
      <c r="G33" s="20">
        <v>0.03</v>
      </c>
      <c r="H33" s="17" t="s">
        <v>26</v>
      </c>
    </row>
    <row r="35" spans="2:12" x14ac:dyDescent="0.25">
      <c r="B35" s="21"/>
      <c r="C35" s="22"/>
      <c r="D35" s="23"/>
      <c r="E35" s="24" t="s">
        <v>4</v>
      </c>
      <c r="F35" s="25"/>
      <c r="G35" s="25"/>
      <c r="H35" s="26" t="s">
        <v>5</v>
      </c>
      <c r="I35" s="27"/>
      <c r="J35" s="25"/>
      <c r="K35" s="25"/>
      <c r="L35" s="25"/>
    </row>
    <row r="36" spans="2:12" x14ac:dyDescent="0.25">
      <c r="B36" s="59" t="s">
        <v>87</v>
      </c>
      <c r="C36" s="28"/>
      <c r="D36" s="82" t="s">
        <v>83</v>
      </c>
      <c r="E36" s="1">
        <f>EOMONTH(F36,-12)</f>
        <v>41639</v>
      </c>
      <c r="F36" s="1">
        <f>EOMONTH(G36,-12)</f>
        <v>42004</v>
      </c>
      <c r="G36" s="1">
        <f>Hist_Year</f>
        <v>42369</v>
      </c>
      <c r="H36" s="150">
        <f>EOMONTH(G36,12)</f>
        <v>42735</v>
      </c>
      <c r="I36" s="1">
        <f t="shared" ref="I36" si="0">EOMONTH(H36,12)</f>
        <v>43100</v>
      </c>
      <c r="J36" s="1">
        <f t="shared" ref="J36" si="1">EOMONTH(I36,12)</f>
        <v>43465</v>
      </c>
      <c r="K36" s="1">
        <f t="shared" ref="K36" si="2">EOMONTH(J36,12)</f>
        <v>43830</v>
      </c>
      <c r="L36" s="1">
        <f t="shared" ref="L36" si="3">EOMONTH(K36,12)</f>
        <v>44196</v>
      </c>
    </row>
    <row r="37" spans="2:12" outlineLevel="1" x14ac:dyDescent="0.25"/>
    <row r="38" spans="2:12" outlineLevel="1" x14ac:dyDescent="0.25">
      <c r="C38" s="4" t="s">
        <v>68</v>
      </c>
    </row>
    <row r="39" spans="2:12" outlineLevel="1" x14ac:dyDescent="0.25">
      <c r="C39" s="14" t="s">
        <v>66</v>
      </c>
      <c r="D39" s="101" t="s">
        <v>38</v>
      </c>
      <c r="E39" s="30">
        <v>417.1</v>
      </c>
      <c r="F39" s="30">
        <v>418.6</v>
      </c>
      <c r="G39" s="31">
        <v>538.9</v>
      </c>
      <c r="H39" s="70">
        <f>+G39*(1+H47)</f>
        <v>592.79000000000008</v>
      </c>
      <c r="I39" s="70">
        <f t="shared" ref="I39:L39" si="4">+H39*(1+I47)</f>
        <v>640.21320000000014</v>
      </c>
      <c r="J39" s="70">
        <f t="shared" si="4"/>
        <v>678.62599200000022</v>
      </c>
      <c r="K39" s="70">
        <f t="shared" si="4"/>
        <v>712.55729160000021</v>
      </c>
      <c r="L39" s="70">
        <f t="shared" si="4"/>
        <v>741.05958326400025</v>
      </c>
    </row>
    <row r="40" spans="2:12" outlineLevel="1" x14ac:dyDescent="0.25">
      <c r="C40" s="14" t="s">
        <v>67</v>
      </c>
      <c r="D40" s="101" t="s">
        <v>38</v>
      </c>
      <c r="E40" s="35">
        <v>1073.4000000000001</v>
      </c>
      <c r="F40" s="35">
        <v>1122.2</v>
      </c>
      <c r="G40" s="38">
        <v>1107.7</v>
      </c>
      <c r="H40" s="71">
        <f t="shared" ref="H40:L40" si="5">+G40*(1+H48)</f>
        <v>1102.1614999999999</v>
      </c>
      <c r="I40" s="71">
        <f t="shared" si="5"/>
        <v>1135.226345</v>
      </c>
      <c r="J40" s="71">
        <f t="shared" si="5"/>
        <v>1169.2831353500001</v>
      </c>
      <c r="K40" s="71">
        <f t="shared" si="5"/>
        <v>1192.668798057</v>
      </c>
      <c r="L40" s="71">
        <f t="shared" si="5"/>
        <v>1216.52217401814</v>
      </c>
    </row>
    <row r="41" spans="2:12" outlineLevel="1" x14ac:dyDescent="0.25">
      <c r="C41" s="14" t="s">
        <v>69</v>
      </c>
      <c r="D41" s="101" t="s">
        <v>38</v>
      </c>
      <c r="E41" s="35">
        <v>597.20000000000005</v>
      </c>
      <c r="F41" s="35">
        <v>552.4</v>
      </c>
      <c r="G41" s="38">
        <v>505.1</v>
      </c>
      <c r="H41" s="71">
        <f t="shared" ref="H41:L41" si="6">+G41*(1+H49)</f>
        <v>479.84500000000003</v>
      </c>
      <c r="I41" s="71">
        <f t="shared" si="6"/>
        <v>465.44965000000002</v>
      </c>
      <c r="J41" s="71">
        <f t="shared" si="6"/>
        <v>474.75864300000001</v>
      </c>
      <c r="K41" s="71">
        <f t="shared" si="6"/>
        <v>484.25381586000003</v>
      </c>
      <c r="L41" s="71">
        <f t="shared" si="6"/>
        <v>493.93889217720005</v>
      </c>
    </row>
    <row r="42" spans="2:12" outlineLevel="1" x14ac:dyDescent="0.25">
      <c r="C42" s="14" t="s">
        <v>70</v>
      </c>
      <c r="D42" s="101" t="s">
        <v>38</v>
      </c>
      <c r="E42" s="35">
        <v>271.89999999999998</v>
      </c>
      <c r="F42" s="35">
        <v>287.7</v>
      </c>
      <c r="G42" s="38">
        <v>338.3</v>
      </c>
      <c r="H42" s="71">
        <f t="shared" ref="H42:L42" si="7">+G42*(1+H50)</f>
        <v>382.279</v>
      </c>
      <c r="I42" s="71">
        <f t="shared" si="7"/>
        <v>424.32969000000003</v>
      </c>
      <c r="J42" s="71">
        <f t="shared" si="7"/>
        <v>462.51936210000008</v>
      </c>
      <c r="K42" s="71">
        <f t="shared" si="7"/>
        <v>499.52091106800015</v>
      </c>
      <c r="L42" s="71">
        <f t="shared" si="7"/>
        <v>534.48737484276023</v>
      </c>
    </row>
    <row r="43" spans="2:12" outlineLevel="1" x14ac:dyDescent="0.25">
      <c r="C43" s="14" t="s">
        <v>71</v>
      </c>
      <c r="D43" s="102" t="s">
        <v>38</v>
      </c>
      <c r="E43" s="35">
        <v>360.5</v>
      </c>
      <c r="F43" s="35">
        <v>402.3</v>
      </c>
      <c r="G43" s="38">
        <v>458.8</v>
      </c>
      <c r="H43" s="71">
        <f t="shared" ref="H43:L43" si="8">+G43*(1+H51)</f>
        <v>513.85600000000011</v>
      </c>
      <c r="I43" s="71">
        <f t="shared" si="8"/>
        <v>565.24160000000018</v>
      </c>
      <c r="J43" s="71">
        <f t="shared" si="8"/>
        <v>610.46092800000019</v>
      </c>
      <c r="K43" s="71">
        <f t="shared" si="8"/>
        <v>653.19319296000026</v>
      </c>
      <c r="L43" s="71">
        <f t="shared" si="8"/>
        <v>692.38478453760035</v>
      </c>
    </row>
    <row r="44" spans="2:12" outlineLevel="1" x14ac:dyDescent="0.25">
      <c r="C44" s="62" t="s">
        <v>72</v>
      </c>
      <c r="D44" s="101" t="s">
        <v>38</v>
      </c>
      <c r="E44" s="66">
        <f>SUM(E39:E43)</f>
        <v>2720.1</v>
      </c>
      <c r="F44" s="66">
        <f t="shared" ref="F44:G44" si="9">SUM(F39:F43)</f>
        <v>2783.2000000000003</v>
      </c>
      <c r="G44" s="66">
        <f t="shared" si="9"/>
        <v>2948.8</v>
      </c>
      <c r="H44" s="66">
        <f>SUM(H39:H43)</f>
        <v>3070.9315000000006</v>
      </c>
      <c r="I44" s="66">
        <f t="shared" ref="I44:L44" si="10">SUM(I39:I43)</f>
        <v>3230.4604850000005</v>
      </c>
      <c r="J44" s="66">
        <f t="shared" si="10"/>
        <v>3395.6480604500011</v>
      </c>
      <c r="K44" s="66">
        <f t="shared" si="10"/>
        <v>3542.1940095450009</v>
      </c>
      <c r="L44" s="66">
        <f t="shared" si="10"/>
        <v>3678.392808839701</v>
      </c>
    </row>
    <row r="45" spans="2:12" outlineLevel="1" x14ac:dyDescent="0.25"/>
    <row r="46" spans="2:12" outlineLevel="1" x14ac:dyDescent="0.25">
      <c r="C46" s="4" t="s">
        <v>73</v>
      </c>
    </row>
    <row r="47" spans="2:12" outlineLevel="1" x14ac:dyDescent="0.25">
      <c r="C47" s="14" t="str">
        <f>+$C$39</f>
        <v>Americas &amp; Asia-Pacific:</v>
      </c>
      <c r="D47" s="103" t="s">
        <v>82</v>
      </c>
      <c r="E47" s="67">
        <v>-2.868754482428848E-3</v>
      </c>
      <c r="F47" s="53">
        <f t="shared" ref="F47" si="11">+F39/E39-1</f>
        <v>3.5962598897147924E-3</v>
      </c>
      <c r="G47" s="53">
        <f>+G39/F39-1</f>
        <v>0.28738652651696128</v>
      </c>
      <c r="H47" s="69">
        <v>0.1</v>
      </c>
      <c r="I47" s="17">
        <v>0.08</v>
      </c>
      <c r="J47" s="17">
        <v>0.06</v>
      </c>
      <c r="K47" s="17">
        <v>0.05</v>
      </c>
      <c r="L47" s="17">
        <v>0.04</v>
      </c>
    </row>
    <row r="48" spans="2:12" outlineLevel="1" x14ac:dyDescent="0.25">
      <c r="C48" s="14" t="str">
        <f>+$C$40</f>
        <v>Western Europe:</v>
      </c>
      <c r="D48" s="103" t="s">
        <v>82</v>
      </c>
      <c r="E48" s="67">
        <v>1.5515610217597064E-2</v>
      </c>
      <c r="F48" s="53">
        <f t="shared" ref="F48:G48" si="12">+F40/E40-1</f>
        <v>4.5463014719582695E-2</v>
      </c>
      <c r="G48" s="53">
        <f t="shared" si="12"/>
        <v>-1.2921047941543362E-2</v>
      </c>
      <c r="H48" s="69">
        <v>-5.0000000000000001E-3</v>
      </c>
      <c r="I48" s="17">
        <v>0.03</v>
      </c>
      <c r="J48" s="17">
        <v>0.03</v>
      </c>
      <c r="K48" s="17">
        <v>0.02</v>
      </c>
      <c r="L48" s="17">
        <v>0.02</v>
      </c>
    </row>
    <row r="49" spans="3:12" outlineLevel="1" x14ac:dyDescent="0.25">
      <c r="C49" s="14" t="str">
        <f>+$C$41</f>
        <v>East &amp; Northern Europe:</v>
      </c>
      <c r="D49" s="103" t="s">
        <v>82</v>
      </c>
      <c r="E49" s="67">
        <v>7.5842190596288939E-2</v>
      </c>
      <c r="F49" s="53">
        <f t="shared" ref="F49:G49" si="13">+F41/E41-1</f>
        <v>-7.5016744809109248E-2</v>
      </c>
      <c r="G49" s="53">
        <f t="shared" si="13"/>
        <v>-8.5626357711802936E-2</v>
      </c>
      <c r="H49" s="69">
        <v>-0.05</v>
      </c>
      <c r="I49" s="17">
        <v>-0.03</v>
      </c>
      <c r="J49" s="17">
        <v>0.02</v>
      </c>
      <c r="K49" s="17">
        <v>0.02</v>
      </c>
      <c r="L49" s="17">
        <v>0.02</v>
      </c>
    </row>
    <row r="50" spans="3:12" outlineLevel="1" x14ac:dyDescent="0.25">
      <c r="C50" s="14" t="str">
        <f>+$C$42</f>
        <v>Greater Africa:</v>
      </c>
      <c r="D50" s="103" t="s">
        <v>82</v>
      </c>
      <c r="E50" s="67">
        <v>4.0964777947932518E-2</v>
      </c>
      <c r="F50" s="53">
        <f t="shared" ref="F50:G50" si="14">+F42/E42-1</f>
        <v>5.8109599117322608E-2</v>
      </c>
      <c r="G50" s="53">
        <f t="shared" si="14"/>
        <v>0.17587765033020508</v>
      </c>
      <c r="H50" s="69">
        <v>0.13</v>
      </c>
      <c r="I50" s="17">
        <v>0.11</v>
      </c>
      <c r="J50" s="17">
        <v>0.09</v>
      </c>
      <c r="K50" s="17">
        <v>0.08</v>
      </c>
      <c r="L50" s="17">
        <v>7.0000000000000007E-2</v>
      </c>
    </row>
    <row r="51" spans="3:12" outlineLevel="1" x14ac:dyDescent="0.25">
      <c r="C51" s="14" t="str">
        <f>+$C$43</f>
        <v>Near &amp; Middle East:</v>
      </c>
      <c r="D51" s="103" t="s">
        <v>82</v>
      </c>
      <c r="E51" s="67">
        <v>9.2385218365060862E-3</v>
      </c>
      <c r="F51" s="53">
        <f t="shared" ref="F51:G51" si="15">+F43/E43-1</f>
        <v>0.11595006934812768</v>
      </c>
      <c r="G51" s="53">
        <f t="shared" si="15"/>
        <v>0.14044245587869741</v>
      </c>
      <c r="H51" s="69">
        <v>0.12</v>
      </c>
      <c r="I51" s="17">
        <v>0.1</v>
      </c>
      <c r="J51" s="17">
        <v>0.08</v>
      </c>
      <c r="K51" s="17">
        <v>7.0000000000000007E-2</v>
      </c>
      <c r="L51" s="17">
        <v>0.06</v>
      </c>
    </row>
    <row r="52" spans="3:12" outlineLevel="1" x14ac:dyDescent="0.25"/>
    <row r="53" spans="3:12" outlineLevel="1" x14ac:dyDescent="0.25">
      <c r="C53" s="4" t="s">
        <v>74</v>
      </c>
    </row>
    <row r="54" spans="3:12" outlineLevel="1" x14ac:dyDescent="0.25">
      <c r="C54" s="14" t="str">
        <f>+$C$39</f>
        <v>Americas &amp; Asia-Pacific:</v>
      </c>
      <c r="D54" s="101" t="s">
        <v>38</v>
      </c>
      <c r="E54" s="35">
        <v>35.6</v>
      </c>
      <c r="F54" s="35">
        <v>17.100000000000001</v>
      </c>
      <c r="G54" s="38">
        <v>19.8</v>
      </c>
      <c r="H54" s="71">
        <f>+H39*H62</f>
        <v>23.711600000000004</v>
      </c>
      <c r="I54" s="71">
        <f t="shared" ref="I54:L54" si="16">+I39*I62</f>
        <v>27.209061000000009</v>
      </c>
      <c r="J54" s="71">
        <f t="shared" si="16"/>
        <v>28.841604660000012</v>
      </c>
      <c r="K54" s="71">
        <f t="shared" si="16"/>
        <v>32.06507812200001</v>
      </c>
      <c r="L54" s="71">
        <f t="shared" si="16"/>
        <v>33.347681246880008</v>
      </c>
    </row>
    <row r="55" spans="3:12" outlineLevel="1" x14ac:dyDescent="0.25">
      <c r="C55" s="14" t="str">
        <f>+$C$40</f>
        <v>Western Europe:</v>
      </c>
      <c r="D55" s="101" t="s">
        <v>38</v>
      </c>
      <c r="E55" s="35">
        <v>120.6</v>
      </c>
      <c r="F55" s="35">
        <v>119.3</v>
      </c>
      <c r="G55" s="38">
        <v>135.69999999999999</v>
      </c>
      <c r="H55" s="71">
        <f t="shared" ref="H55:L55" si="17">+H40*H63</f>
        <v>136.668026</v>
      </c>
      <c r="I55" s="71">
        <f t="shared" si="17"/>
        <v>143.03851947000001</v>
      </c>
      <c r="J55" s="71">
        <f t="shared" si="17"/>
        <v>149.66824132480002</v>
      </c>
      <c r="K55" s="71">
        <f t="shared" si="17"/>
        <v>153.854274949353</v>
      </c>
      <c r="L55" s="71">
        <f t="shared" si="17"/>
        <v>158.14788262235822</v>
      </c>
    </row>
    <row r="56" spans="3:12" outlineLevel="1" x14ac:dyDescent="0.25">
      <c r="C56" s="14" t="str">
        <f>+$C$41</f>
        <v>East &amp; Northern Europe:</v>
      </c>
      <c r="D56" s="101" t="s">
        <v>38</v>
      </c>
      <c r="E56" s="35">
        <v>13</v>
      </c>
      <c r="F56" s="35">
        <v>3.2</v>
      </c>
      <c r="G56" s="38">
        <v>11.4</v>
      </c>
      <c r="H56" s="71">
        <f t="shared" ref="H56:L56" si="18">+H41*H64</f>
        <v>11.996125000000001</v>
      </c>
      <c r="I56" s="71">
        <f t="shared" si="18"/>
        <v>11.636241250000001</v>
      </c>
      <c r="J56" s="71">
        <f t="shared" si="18"/>
        <v>11.868966075000001</v>
      </c>
      <c r="K56" s="71">
        <f t="shared" si="18"/>
        <v>12.106345396500002</v>
      </c>
      <c r="L56" s="71">
        <f t="shared" si="18"/>
        <v>12.348472304430002</v>
      </c>
    </row>
    <row r="57" spans="3:12" outlineLevel="1" x14ac:dyDescent="0.25">
      <c r="C57" s="14" t="str">
        <f>+$C$42</f>
        <v>Greater Africa:</v>
      </c>
      <c r="D57" s="101" t="s">
        <v>38</v>
      </c>
      <c r="E57" s="35">
        <v>29.7</v>
      </c>
      <c r="F57" s="35">
        <v>27.7</v>
      </c>
      <c r="G57" s="38">
        <v>39.799999999999997</v>
      </c>
      <c r="H57" s="71">
        <f t="shared" ref="H57:L57" si="19">+H42*H65</f>
        <v>45.491200999999997</v>
      </c>
      <c r="I57" s="71">
        <f t="shared" si="19"/>
        <v>50.919562800000001</v>
      </c>
      <c r="J57" s="71">
        <f t="shared" si="19"/>
        <v>55.96484281410001</v>
      </c>
      <c r="K57" s="71">
        <f t="shared" si="19"/>
        <v>60.941551150296014</v>
      </c>
      <c r="L57" s="71">
        <f t="shared" si="19"/>
        <v>65.741947105659506</v>
      </c>
    </row>
    <row r="58" spans="3:12" outlineLevel="1" x14ac:dyDescent="0.25">
      <c r="C58" s="14" t="str">
        <f>+$C$43</f>
        <v>Near &amp; Middle East:</v>
      </c>
      <c r="D58" s="102" t="s">
        <v>38</v>
      </c>
      <c r="E58" s="35">
        <v>35.5</v>
      </c>
      <c r="F58" s="35">
        <v>32</v>
      </c>
      <c r="G58" s="38">
        <v>65.7</v>
      </c>
      <c r="H58" s="71">
        <f t="shared" ref="H58:L58" si="20">+H43*H66</f>
        <v>72.967552000000012</v>
      </c>
      <c r="I58" s="71">
        <f t="shared" si="20"/>
        <v>79.699065600000012</v>
      </c>
      <c r="J58" s="71">
        <f t="shared" si="20"/>
        <v>85.464529920000032</v>
      </c>
      <c r="K58" s="71">
        <f t="shared" si="20"/>
        <v>91.447047014400042</v>
      </c>
      <c r="L58" s="71">
        <f t="shared" si="20"/>
        <v>96.933869835264062</v>
      </c>
    </row>
    <row r="59" spans="3:12" outlineLevel="1" x14ac:dyDescent="0.25">
      <c r="C59" s="62" t="s">
        <v>75</v>
      </c>
      <c r="D59" s="101" t="s">
        <v>38</v>
      </c>
      <c r="E59" s="66">
        <f>SUM(E54:E58)</f>
        <v>234.39999999999998</v>
      </c>
      <c r="F59" s="66">
        <f t="shared" ref="F59:G59" si="21">SUM(F54:F58)</f>
        <v>199.29999999999998</v>
      </c>
      <c r="G59" s="66">
        <f t="shared" si="21"/>
        <v>272.39999999999998</v>
      </c>
      <c r="H59" s="66">
        <f>SUM(H54:H58)</f>
        <v>290.83450400000004</v>
      </c>
      <c r="I59" s="66">
        <f t="shared" ref="I59:L59" si="22">SUM(I54:I58)</f>
        <v>312.50245012000005</v>
      </c>
      <c r="J59" s="66">
        <f t="shared" si="22"/>
        <v>331.80818479390007</v>
      </c>
      <c r="K59" s="66">
        <f t="shared" si="22"/>
        <v>350.41429663254905</v>
      </c>
      <c r="L59" s="66">
        <f t="shared" si="22"/>
        <v>366.5198531145918</v>
      </c>
    </row>
    <row r="60" spans="3:12" outlineLevel="1" x14ac:dyDescent="0.25"/>
    <row r="61" spans="3:12" outlineLevel="1" x14ac:dyDescent="0.25">
      <c r="C61" s="4" t="s">
        <v>76</v>
      </c>
    </row>
    <row r="62" spans="3:12" outlineLevel="1" x14ac:dyDescent="0.25">
      <c r="C62" s="14" t="str">
        <f>+$C$39</f>
        <v>Americas &amp; Asia-Pacific:</v>
      </c>
      <c r="D62" s="103" t="s">
        <v>82</v>
      </c>
      <c r="E62" s="68">
        <f>+E54/E39</f>
        <v>8.5351234715895466E-2</v>
      </c>
      <c r="F62" s="68">
        <f t="shared" ref="F62:G62" si="23">+F54/F39</f>
        <v>4.0850453893932159E-2</v>
      </c>
      <c r="G62" s="68">
        <f t="shared" si="23"/>
        <v>3.6741510484319916E-2</v>
      </c>
      <c r="H62" s="69">
        <v>0.04</v>
      </c>
      <c r="I62" s="17">
        <v>4.2500000000000003E-2</v>
      </c>
      <c r="J62" s="17">
        <v>4.2500000000000003E-2</v>
      </c>
      <c r="K62" s="17">
        <v>4.4999999999999998E-2</v>
      </c>
      <c r="L62" s="17">
        <v>4.4999999999999998E-2</v>
      </c>
    </row>
    <row r="63" spans="3:12" outlineLevel="1" x14ac:dyDescent="0.25">
      <c r="C63" s="14" t="str">
        <f>+$C$40</f>
        <v>Western Europe:</v>
      </c>
      <c r="D63" s="103" t="s">
        <v>82</v>
      </c>
      <c r="E63" s="68">
        <f t="shared" ref="E63:G63" si="24">+E55/E40</f>
        <v>0.11235326998323084</v>
      </c>
      <c r="F63" s="68">
        <f t="shared" si="24"/>
        <v>0.10630903582249153</v>
      </c>
      <c r="G63" s="68">
        <f t="shared" si="24"/>
        <v>0.12250609370768258</v>
      </c>
      <c r="H63" s="69">
        <v>0.124</v>
      </c>
      <c r="I63" s="17">
        <v>0.126</v>
      </c>
      <c r="J63" s="17">
        <v>0.128</v>
      </c>
      <c r="K63" s="17">
        <v>0.129</v>
      </c>
      <c r="L63" s="17">
        <v>0.13</v>
      </c>
    </row>
    <row r="64" spans="3:12" outlineLevel="1" x14ac:dyDescent="0.25">
      <c r="C64" s="14" t="str">
        <f>+$C$41</f>
        <v>East &amp; Northern Europe:</v>
      </c>
      <c r="D64" s="103" t="s">
        <v>82</v>
      </c>
      <c r="E64" s="68">
        <f t="shared" ref="E64:G64" si="25">+E56/E41</f>
        <v>2.1768251841929001E-2</v>
      </c>
      <c r="F64" s="68">
        <f t="shared" si="25"/>
        <v>5.7929036929761047E-3</v>
      </c>
      <c r="G64" s="68">
        <f t="shared" si="25"/>
        <v>2.2569788160760246E-2</v>
      </c>
      <c r="H64" s="69">
        <v>2.5000000000000001E-2</v>
      </c>
      <c r="I64" s="17">
        <v>2.5000000000000001E-2</v>
      </c>
      <c r="J64" s="17">
        <v>2.5000000000000001E-2</v>
      </c>
      <c r="K64" s="17">
        <v>2.5000000000000001E-2</v>
      </c>
      <c r="L64" s="17">
        <v>2.5000000000000001E-2</v>
      </c>
    </row>
    <row r="65" spans="2:12" outlineLevel="1" x14ac:dyDescent="0.25">
      <c r="C65" s="14" t="str">
        <f>+$C$42</f>
        <v>Greater Africa:</v>
      </c>
      <c r="D65" s="103" t="s">
        <v>82</v>
      </c>
      <c r="E65" s="68">
        <f t="shared" ref="E65:G65" si="26">+E57/E42</f>
        <v>0.10923133504965062</v>
      </c>
      <c r="F65" s="68">
        <f t="shared" si="26"/>
        <v>9.6280848105665631E-2</v>
      </c>
      <c r="G65" s="68">
        <f t="shared" si="26"/>
        <v>0.1176470588235294</v>
      </c>
      <c r="H65" s="69">
        <v>0.11899999999999999</v>
      </c>
      <c r="I65" s="17">
        <v>0.12</v>
      </c>
      <c r="J65" s="17">
        <v>0.121</v>
      </c>
      <c r="K65" s="17">
        <v>0.122</v>
      </c>
      <c r="L65" s="17">
        <v>0.123</v>
      </c>
    </row>
    <row r="66" spans="2:12" outlineLevel="1" x14ac:dyDescent="0.25">
      <c r="C66" s="14" t="str">
        <f>+$C$43</f>
        <v>Near &amp; Middle East:</v>
      </c>
      <c r="D66" s="103" t="s">
        <v>82</v>
      </c>
      <c r="E66" s="68">
        <f t="shared" ref="E66:G66" si="27">+E58/E43</f>
        <v>9.8474341192787793E-2</v>
      </c>
      <c r="F66" s="68">
        <f t="shared" si="27"/>
        <v>7.9542629878200349E-2</v>
      </c>
      <c r="G66" s="68">
        <f t="shared" si="27"/>
        <v>0.14319965126416739</v>
      </c>
      <c r="H66" s="69">
        <v>0.14199999999999999</v>
      </c>
      <c r="I66" s="17">
        <v>0.14099999999999999</v>
      </c>
      <c r="J66" s="17">
        <v>0.14000000000000001</v>
      </c>
      <c r="K66" s="17">
        <v>0.14000000000000001</v>
      </c>
      <c r="L66" s="17">
        <v>0.14000000000000001</v>
      </c>
    </row>
    <row r="67" spans="2:12" outlineLevel="1" x14ac:dyDescent="0.25"/>
    <row r="68" spans="2:12" outlineLevel="1" x14ac:dyDescent="0.25">
      <c r="C68" s="89" t="s">
        <v>88</v>
      </c>
      <c r="D68" s="103" t="s">
        <v>82</v>
      </c>
      <c r="E68" s="68">
        <f>-E118/E74</f>
        <v>5.4852941176470583E-2</v>
      </c>
      <c r="F68" s="68">
        <f>-F118/F74</f>
        <v>4.3906294912331133E-2</v>
      </c>
      <c r="G68" s="68">
        <f>-G118/G74</f>
        <v>3.3267769940314704E-2</v>
      </c>
      <c r="H68" s="69">
        <v>0.06</v>
      </c>
      <c r="I68" s="17">
        <v>0.06</v>
      </c>
      <c r="J68" s="17">
        <v>0.05</v>
      </c>
      <c r="K68" s="17">
        <v>0.05</v>
      </c>
      <c r="L68" s="17">
        <v>0.04</v>
      </c>
    </row>
    <row r="69" spans="2:12" outlineLevel="1" x14ac:dyDescent="0.25">
      <c r="C69" s="89" t="s">
        <v>89</v>
      </c>
      <c r="D69" s="103" t="s">
        <v>82</v>
      </c>
      <c r="E69" s="68">
        <f>+E119/(E74-2648.7)</f>
        <v>-0.11079943899018205</v>
      </c>
      <c r="F69" s="68">
        <f>+F119/(F74-E74)</f>
        <v>-0.53639240506329267</v>
      </c>
      <c r="G69" s="68">
        <f>+G119/(G74-F74)</f>
        <v>0.21920289855072414</v>
      </c>
      <c r="H69" s="69">
        <v>-0.1</v>
      </c>
      <c r="I69" s="17">
        <v>-0.1</v>
      </c>
      <c r="J69" s="17">
        <v>-0.08</v>
      </c>
      <c r="K69" s="17">
        <v>-0.08</v>
      </c>
      <c r="L69" s="17">
        <v>-0.06</v>
      </c>
    </row>
    <row r="71" spans="2:12" x14ac:dyDescent="0.25">
      <c r="B71" s="21"/>
      <c r="C71" s="22"/>
      <c r="D71" s="23"/>
      <c r="E71" s="24" t="s">
        <v>4</v>
      </c>
      <c r="F71" s="25"/>
      <c r="G71" s="25"/>
      <c r="H71" s="26" t="s">
        <v>5</v>
      </c>
      <c r="I71" s="27"/>
      <c r="J71" s="25"/>
      <c r="K71" s="25"/>
      <c r="L71" s="25"/>
    </row>
    <row r="72" spans="2:12" x14ac:dyDescent="0.25">
      <c r="B72" s="59" t="s">
        <v>54</v>
      </c>
      <c r="C72" s="28"/>
      <c r="D72" s="82" t="str">
        <f>+$D$36</f>
        <v>Units:</v>
      </c>
      <c r="E72" s="1">
        <f>EOMONTH(F72,-12)</f>
        <v>41639</v>
      </c>
      <c r="F72" s="1">
        <f>EOMONTH(G72,-12)</f>
        <v>42004</v>
      </c>
      <c r="G72" s="2">
        <f>Hist_Year</f>
        <v>42369</v>
      </c>
      <c r="H72" s="150">
        <f>EOMONTH(G72,12)</f>
        <v>42735</v>
      </c>
      <c r="I72" s="1">
        <f t="shared" ref="I72:L72" si="28">EOMONTH(H72,12)</f>
        <v>43100</v>
      </c>
      <c r="J72" s="1">
        <f t="shared" si="28"/>
        <v>43465</v>
      </c>
      <c r="K72" s="1">
        <f t="shared" si="28"/>
        <v>43830</v>
      </c>
      <c r="L72" s="1">
        <f t="shared" si="28"/>
        <v>44196</v>
      </c>
    </row>
    <row r="73" spans="2:12" outlineLevel="1" x14ac:dyDescent="0.25">
      <c r="G73" s="40"/>
    </row>
    <row r="74" spans="2:12" outlineLevel="1" x14ac:dyDescent="0.25">
      <c r="C74" s="3" t="s">
        <v>6</v>
      </c>
      <c r="D74" s="101" t="s">
        <v>38</v>
      </c>
      <c r="E74" s="30">
        <v>2720</v>
      </c>
      <c r="F74" s="30">
        <v>2783.2</v>
      </c>
      <c r="G74" s="31">
        <v>2948.8</v>
      </c>
      <c r="H74" s="15">
        <f>+H44</f>
        <v>3070.9315000000006</v>
      </c>
      <c r="I74" s="15">
        <f t="shared" ref="I74:L74" si="29">+I44</f>
        <v>3230.4604850000005</v>
      </c>
      <c r="J74" s="15">
        <f t="shared" si="29"/>
        <v>3395.6480604500011</v>
      </c>
      <c r="K74" s="15">
        <f t="shared" si="29"/>
        <v>3542.1940095450009</v>
      </c>
      <c r="L74" s="15">
        <f t="shared" si="29"/>
        <v>3678.392808839701</v>
      </c>
    </row>
    <row r="75" spans="2:12" outlineLevel="1" x14ac:dyDescent="0.25">
      <c r="C75" s="32" t="s">
        <v>7</v>
      </c>
      <c r="D75" s="103" t="s">
        <v>82</v>
      </c>
      <c r="E75" s="33">
        <f>+E74/2648.7-1</f>
        <v>2.6918865858723162E-2</v>
      </c>
      <c r="F75" s="33">
        <f>F74/E74-1</f>
        <v>2.3235294117647021E-2</v>
      </c>
      <c r="G75" s="34">
        <f>G74/F74-1</f>
        <v>5.9499856280540442E-2</v>
      </c>
      <c r="H75" s="34">
        <f t="shared" ref="H75:L75" si="30">H74/G74-1</f>
        <v>4.1417356212696932E-2</v>
      </c>
      <c r="I75" s="34">
        <f t="shared" si="30"/>
        <v>5.1948076666640031E-2</v>
      </c>
      <c r="J75" s="34">
        <f t="shared" si="30"/>
        <v>5.1134374253149373E-2</v>
      </c>
      <c r="K75" s="34">
        <f t="shared" si="30"/>
        <v>4.3156989913607058E-2</v>
      </c>
      <c r="L75" s="34">
        <f t="shared" si="30"/>
        <v>3.8450406422598782E-2</v>
      </c>
    </row>
    <row r="76" spans="2:12" outlineLevel="1" x14ac:dyDescent="0.25">
      <c r="C76" s="32"/>
      <c r="E76" s="16"/>
      <c r="F76" s="35"/>
      <c r="G76" s="36"/>
      <c r="H76" s="16"/>
      <c r="I76" s="16"/>
      <c r="J76" s="16"/>
      <c r="K76" s="16"/>
      <c r="L76" s="16"/>
    </row>
    <row r="77" spans="2:12" outlineLevel="1" x14ac:dyDescent="0.25">
      <c r="C77" s="3" t="s">
        <v>8</v>
      </c>
      <c r="D77" s="101" t="s">
        <v>38</v>
      </c>
      <c r="E77" s="35">
        <v>822.3</v>
      </c>
      <c r="F77" s="35">
        <v>809</v>
      </c>
      <c r="G77" s="38">
        <v>992.2</v>
      </c>
      <c r="H77" s="16">
        <f>+H78*H74</f>
        <v>951.44074511959184</v>
      </c>
      <c r="I77" s="16">
        <f t="shared" ref="I77:L77" si="31">+I78*I74</f>
        <v>1000.8662618908295</v>
      </c>
      <c r="J77" s="16">
        <f t="shared" si="31"/>
        <v>1052.0449319037059</v>
      </c>
      <c r="K77" s="16">
        <f t="shared" si="31"/>
        <v>1097.4480244185354</v>
      </c>
      <c r="L77" s="16">
        <f t="shared" si="31"/>
        <v>1139.6453469851062</v>
      </c>
    </row>
    <row r="78" spans="2:12" outlineLevel="1" x14ac:dyDescent="0.25">
      <c r="C78" s="114" t="s">
        <v>9</v>
      </c>
      <c r="D78" s="103" t="s">
        <v>82</v>
      </c>
      <c r="E78" s="139">
        <f>E77/E74</f>
        <v>0.30231617647058823</v>
      </c>
      <c r="F78" s="139">
        <f>F77/F74</f>
        <v>0.29067260707099746</v>
      </c>
      <c r="G78" s="149">
        <f>G77/G74</f>
        <v>0.33647585458491591</v>
      </c>
      <c r="H78" s="69">
        <f>AVERAGE(E78:G78)</f>
        <v>0.30982154604216722</v>
      </c>
      <c r="I78" s="17">
        <f>H78</f>
        <v>0.30982154604216722</v>
      </c>
      <c r="J78" s="17">
        <f t="shared" ref="J78:L78" si="32">I78</f>
        <v>0.30982154604216722</v>
      </c>
      <c r="K78" s="17">
        <f t="shared" si="32"/>
        <v>0.30982154604216722</v>
      </c>
      <c r="L78" s="17">
        <f t="shared" si="32"/>
        <v>0.30982154604216722</v>
      </c>
    </row>
    <row r="79" spans="2:12" outlineLevel="1" x14ac:dyDescent="0.25">
      <c r="E79" s="16"/>
      <c r="F79" s="16"/>
      <c r="G79" s="36"/>
      <c r="H79" s="16"/>
      <c r="I79" s="16"/>
      <c r="J79" s="16"/>
      <c r="K79" s="16"/>
      <c r="L79" s="16"/>
    </row>
    <row r="80" spans="2:12" outlineLevel="1" x14ac:dyDescent="0.25">
      <c r="C80" s="3" t="s">
        <v>46</v>
      </c>
      <c r="D80" s="101" t="s">
        <v>38</v>
      </c>
      <c r="E80" s="35">
        <v>506.19999999999993</v>
      </c>
      <c r="F80" s="35">
        <v>509</v>
      </c>
      <c r="G80" s="38">
        <v>606.6</v>
      </c>
      <c r="H80" s="16">
        <f>+H77-H86</f>
        <v>562.33643311959179</v>
      </c>
      <c r="I80" s="16">
        <f t="shared" ref="I80:L80" si="33">+I77-I86</f>
        <v>578.52815528082942</v>
      </c>
      <c r="J80" s="16">
        <f t="shared" si="33"/>
        <v>597.99341693360577</v>
      </c>
      <c r="K80" s="16">
        <f t="shared" si="33"/>
        <v>615.97254943282132</v>
      </c>
      <c r="L80" s="16">
        <f t="shared" si="33"/>
        <v>633.34656713460583</v>
      </c>
    </row>
    <row r="81" spans="3:12" outlineLevel="1" x14ac:dyDescent="0.25">
      <c r="C81" s="32" t="s">
        <v>47</v>
      </c>
      <c r="D81" s="103" t="s">
        <v>82</v>
      </c>
      <c r="E81" s="33">
        <f>+E80/E74</f>
        <v>0.18610294117647055</v>
      </c>
      <c r="F81" s="33">
        <f t="shared" ref="F81:G81" si="34">+F80/F74</f>
        <v>0.18288301235987353</v>
      </c>
      <c r="G81" s="33">
        <f t="shared" si="34"/>
        <v>0.20571079761258818</v>
      </c>
      <c r="H81" s="33">
        <f>+H80/H74</f>
        <v>0.18311591551931122</v>
      </c>
      <c r="I81" s="33">
        <f t="shared" ref="I81:L81" si="35">+I80/I74</f>
        <v>0.17908535268179557</v>
      </c>
      <c r="J81" s="33">
        <f t="shared" si="35"/>
        <v>0.17610582907533648</v>
      </c>
      <c r="K81" s="33">
        <f t="shared" si="35"/>
        <v>0.17389576849065469</v>
      </c>
      <c r="L81" s="33">
        <f t="shared" si="35"/>
        <v>0.17218024285296121</v>
      </c>
    </row>
    <row r="82" spans="3:12" outlineLevel="1" x14ac:dyDescent="0.25">
      <c r="E82" s="16"/>
      <c r="F82" s="16"/>
      <c r="G82" s="36"/>
      <c r="H82" s="16"/>
      <c r="I82" s="16"/>
      <c r="J82" s="16"/>
      <c r="K82" s="16"/>
      <c r="L82" s="16"/>
    </row>
    <row r="83" spans="3:12" outlineLevel="1" x14ac:dyDescent="0.25">
      <c r="C83" s="113" t="s">
        <v>152</v>
      </c>
      <c r="D83" s="101" t="s">
        <v>38</v>
      </c>
      <c r="E83" s="16">
        <f>+E77-E80</f>
        <v>316.10000000000002</v>
      </c>
      <c r="F83" s="16">
        <f t="shared" ref="F83:G83" si="36">+F77-F80</f>
        <v>300</v>
      </c>
      <c r="G83" s="16">
        <f t="shared" si="36"/>
        <v>385.6</v>
      </c>
      <c r="H83" s="16">
        <f>+H59+H89</f>
        <v>389.10431200000005</v>
      </c>
      <c r="I83" s="16">
        <f t="shared" ref="I83:L83" si="37">+I59+I89</f>
        <v>422.33810661000007</v>
      </c>
      <c r="J83" s="16">
        <f t="shared" si="37"/>
        <v>454.05151497010013</v>
      </c>
      <c r="K83" s="16">
        <f t="shared" si="37"/>
        <v>481.47547498571407</v>
      </c>
      <c r="L83" s="16">
        <f t="shared" si="37"/>
        <v>506.29877985050041</v>
      </c>
    </row>
    <row r="84" spans="3:12" outlineLevel="1" x14ac:dyDescent="0.25">
      <c r="C84" s="114" t="s">
        <v>153</v>
      </c>
      <c r="D84" s="103" t="s">
        <v>82</v>
      </c>
      <c r="E84" s="139"/>
      <c r="F84" s="139"/>
      <c r="G84" s="139"/>
      <c r="H84" s="144">
        <f>EBITDA_Toggle</f>
        <v>0</v>
      </c>
      <c r="I84" s="144">
        <f>EBITDA_Toggle</f>
        <v>0</v>
      </c>
      <c r="J84" s="144">
        <f>EBITDA_Toggle</f>
        <v>0</v>
      </c>
      <c r="K84" s="144">
        <f>EBITDA_Toggle</f>
        <v>0</v>
      </c>
      <c r="L84" s="144">
        <f>EBITDA_Toggle</f>
        <v>0</v>
      </c>
    </row>
    <row r="85" spans="3:12" outlineLevel="1" x14ac:dyDescent="0.25">
      <c r="E85" s="16"/>
      <c r="F85" s="16"/>
      <c r="G85" s="36"/>
      <c r="H85" s="16"/>
      <c r="I85" s="16"/>
      <c r="J85" s="16"/>
      <c r="K85" s="16"/>
      <c r="L85" s="16"/>
    </row>
    <row r="86" spans="3:12" outlineLevel="1" x14ac:dyDescent="0.25">
      <c r="C86" s="113" t="s">
        <v>155</v>
      </c>
      <c r="D86" s="101" t="s">
        <v>38</v>
      </c>
      <c r="E86" s="16">
        <f>+E77-E80</f>
        <v>316.10000000000002</v>
      </c>
      <c r="F86" s="16">
        <f t="shared" ref="F86:G86" si="38">+F77-F80</f>
        <v>300</v>
      </c>
      <c r="G86" s="16">
        <f t="shared" si="38"/>
        <v>385.6</v>
      </c>
      <c r="H86" s="16">
        <f>+H83*(1+H84)</f>
        <v>389.10431200000005</v>
      </c>
      <c r="I86" s="16">
        <f t="shared" ref="I86:L86" si="39">+I83*(1+I84)</f>
        <v>422.33810661000007</v>
      </c>
      <c r="J86" s="16">
        <f t="shared" si="39"/>
        <v>454.05151497010013</v>
      </c>
      <c r="K86" s="16">
        <f t="shared" si="39"/>
        <v>481.47547498571407</v>
      </c>
      <c r="L86" s="16">
        <f t="shared" si="39"/>
        <v>506.29877985050041</v>
      </c>
    </row>
    <row r="87" spans="3:12" outlineLevel="1" x14ac:dyDescent="0.25">
      <c r="C87" s="32" t="s">
        <v>10</v>
      </c>
      <c r="D87" s="103" t="s">
        <v>82</v>
      </c>
      <c r="E87" s="33">
        <f>+E86/E$74</f>
        <v>0.11621323529411766</v>
      </c>
      <c r="F87" s="33">
        <f t="shared" ref="F87:G87" si="40">+F86/F$74</f>
        <v>0.1077895947111239</v>
      </c>
      <c r="G87" s="33">
        <f t="shared" si="40"/>
        <v>0.13076505697232774</v>
      </c>
      <c r="H87" s="33">
        <f>+H86/H74</f>
        <v>0.12670563052285599</v>
      </c>
      <c r="I87" s="33">
        <f t="shared" ref="I87:L87" si="41">+I86/I74</f>
        <v>0.13073619336037165</v>
      </c>
      <c r="J87" s="33">
        <f t="shared" si="41"/>
        <v>0.13371571696683074</v>
      </c>
      <c r="K87" s="33">
        <f t="shared" si="41"/>
        <v>0.13592577755151253</v>
      </c>
      <c r="L87" s="33">
        <f t="shared" si="41"/>
        <v>0.137641303189206</v>
      </c>
    </row>
    <row r="88" spans="3:12" outlineLevel="1" x14ac:dyDescent="0.25">
      <c r="E88" s="16"/>
      <c r="F88" s="16"/>
      <c r="G88" s="36"/>
      <c r="H88" s="16"/>
      <c r="I88" s="16"/>
      <c r="J88" s="16"/>
      <c r="K88" s="16"/>
      <c r="L88" s="16"/>
    </row>
    <row r="89" spans="3:12" outlineLevel="1" x14ac:dyDescent="0.25">
      <c r="C89" s="37" t="s">
        <v>11</v>
      </c>
      <c r="D89" s="101" t="s">
        <v>38</v>
      </c>
      <c r="E89" s="35">
        <v>75.300000000000011</v>
      </c>
      <c r="F89" s="35">
        <v>85.4</v>
      </c>
      <c r="G89" s="38">
        <v>92.400000000000034</v>
      </c>
      <c r="H89" s="16">
        <f>+H90*H74</f>
        <v>98.269808000000026</v>
      </c>
      <c r="I89" s="16">
        <f t="shared" ref="I89:L89" si="42">+I90*I74</f>
        <v>109.83565649000002</v>
      </c>
      <c r="J89" s="16">
        <f t="shared" si="42"/>
        <v>122.24333017620003</v>
      </c>
      <c r="K89" s="16">
        <f t="shared" si="42"/>
        <v>131.06117835316502</v>
      </c>
      <c r="L89" s="16">
        <f t="shared" si="42"/>
        <v>139.77892673590864</v>
      </c>
    </row>
    <row r="90" spans="3:12" outlineLevel="1" x14ac:dyDescent="0.25">
      <c r="C90" s="114" t="s">
        <v>12</v>
      </c>
      <c r="D90" s="103" t="s">
        <v>82</v>
      </c>
      <c r="E90" s="139">
        <f>+E89/E74</f>
        <v>2.7683823529411768E-2</v>
      </c>
      <c r="F90" s="139">
        <f t="shared" ref="F90:G90" si="43">+F89/F74</f>
        <v>3.0684104627766603E-2</v>
      </c>
      <c r="G90" s="139">
        <f t="shared" si="43"/>
        <v>3.1334780249593061E-2</v>
      </c>
      <c r="H90" s="69">
        <v>3.2000000000000001E-2</v>
      </c>
      <c r="I90" s="17">
        <v>3.4000000000000002E-2</v>
      </c>
      <c r="J90" s="17">
        <v>3.5999999999999997E-2</v>
      </c>
      <c r="K90" s="17">
        <v>3.6999999999999998E-2</v>
      </c>
      <c r="L90" s="17">
        <v>3.7999999999999999E-2</v>
      </c>
    </row>
    <row r="91" spans="3:12" outlineLevel="1" x14ac:dyDescent="0.25">
      <c r="E91" s="16"/>
      <c r="F91" s="16"/>
      <c r="G91" s="36"/>
      <c r="H91" s="16"/>
      <c r="I91" s="16"/>
      <c r="J91" s="16"/>
      <c r="K91" s="16"/>
      <c r="L91" s="16"/>
    </row>
    <row r="92" spans="3:12" outlineLevel="1" x14ac:dyDescent="0.25">
      <c r="C92" s="3" t="s">
        <v>48</v>
      </c>
      <c r="D92" s="101" t="s">
        <v>38</v>
      </c>
      <c r="E92" s="16">
        <f>+E86-E89</f>
        <v>240.8</v>
      </c>
      <c r="F92" s="16">
        <f t="shared" ref="F92:G92" si="44">+F86-F89</f>
        <v>214.6</v>
      </c>
      <c r="G92" s="16">
        <f t="shared" si="44"/>
        <v>293.2</v>
      </c>
      <c r="H92" s="16">
        <f>+H59</f>
        <v>290.83450400000004</v>
      </c>
      <c r="I92" s="16">
        <f t="shared" ref="I92:L92" si="45">+I59</f>
        <v>312.50245012000005</v>
      </c>
      <c r="J92" s="16">
        <f t="shared" si="45"/>
        <v>331.80818479390007</v>
      </c>
      <c r="K92" s="16">
        <f t="shared" si="45"/>
        <v>350.41429663254905</v>
      </c>
      <c r="L92" s="16">
        <f t="shared" si="45"/>
        <v>366.5198531145918</v>
      </c>
    </row>
    <row r="93" spans="3:12" outlineLevel="1" x14ac:dyDescent="0.25">
      <c r="C93" s="32" t="s">
        <v>13</v>
      </c>
      <c r="D93" s="103" t="s">
        <v>82</v>
      </c>
      <c r="E93" s="33">
        <f>+E92/E74</f>
        <v>8.8529411764705884E-2</v>
      </c>
      <c r="F93" s="33">
        <f t="shared" ref="F93:H93" si="46">+F92/F74</f>
        <v>7.7105490083357292E-2</v>
      </c>
      <c r="G93" s="33">
        <f t="shared" si="46"/>
        <v>9.9430276722734662E-2</v>
      </c>
      <c r="H93" s="33">
        <f t="shared" si="46"/>
        <v>9.4705630522856007E-2</v>
      </c>
      <c r="I93" s="33">
        <f t="shared" ref="I93:L93" si="47">+I92/I74</f>
        <v>9.6736193360371661E-2</v>
      </c>
      <c r="J93" s="33">
        <f t="shared" si="47"/>
        <v>9.7715716966830735E-2</v>
      </c>
      <c r="K93" s="33">
        <f t="shared" si="47"/>
        <v>9.8925777551512536E-2</v>
      </c>
      <c r="L93" s="33">
        <f t="shared" si="47"/>
        <v>9.9641303189206026E-2</v>
      </c>
    </row>
    <row r="94" spans="3:12" outlineLevel="1" x14ac:dyDescent="0.25">
      <c r="E94" s="16"/>
      <c r="F94" s="16"/>
      <c r="G94" s="36"/>
      <c r="H94" s="16"/>
      <c r="I94" s="16"/>
      <c r="J94" s="16"/>
      <c r="K94" s="16"/>
      <c r="L94" s="16"/>
    </row>
    <row r="95" spans="3:12" outlineLevel="1" x14ac:dyDescent="0.25">
      <c r="C95" s="90" t="s">
        <v>123</v>
      </c>
      <c r="D95" s="101" t="s">
        <v>38</v>
      </c>
      <c r="E95" s="16"/>
      <c r="F95" s="16"/>
      <c r="G95" s="36"/>
      <c r="H95" s="16"/>
      <c r="I95" s="16"/>
      <c r="J95" s="16"/>
      <c r="K95" s="16"/>
      <c r="L95" s="16"/>
    </row>
    <row r="96" spans="3:12" outlineLevel="1" x14ac:dyDescent="0.25">
      <c r="C96" s="90" t="s">
        <v>124</v>
      </c>
      <c r="D96" s="101" t="s">
        <v>38</v>
      </c>
      <c r="E96" s="16"/>
      <c r="F96" s="16"/>
      <c r="G96" s="36"/>
      <c r="H96" s="16"/>
      <c r="I96" s="16"/>
      <c r="J96" s="16"/>
      <c r="K96" s="16"/>
      <c r="L96" s="16"/>
    </row>
    <row r="97" spans="2:12" outlineLevel="1" x14ac:dyDescent="0.25">
      <c r="C97" s="62" t="s">
        <v>49</v>
      </c>
      <c r="D97" s="107" t="s">
        <v>38</v>
      </c>
      <c r="E97" s="60"/>
      <c r="F97" s="60"/>
      <c r="G97" s="60"/>
      <c r="H97" s="66">
        <f>+H92+H95+H96</f>
        <v>290.83450400000004</v>
      </c>
      <c r="I97" s="66">
        <f t="shared" ref="I97:L97" si="48">+I92+I95+I96</f>
        <v>312.50245012000005</v>
      </c>
      <c r="J97" s="66">
        <f t="shared" si="48"/>
        <v>331.80818479390007</v>
      </c>
      <c r="K97" s="66">
        <f t="shared" si="48"/>
        <v>350.41429663254905</v>
      </c>
      <c r="L97" s="66">
        <f t="shared" si="48"/>
        <v>366.5198531145918</v>
      </c>
    </row>
    <row r="98" spans="2:12" outlineLevel="1" x14ac:dyDescent="0.25">
      <c r="C98" s="90" t="s">
        <v>125</v>
      </c>
      <c r="D98" s="101" t="s">
        <v>38</v>
      </c>
      <c r="E98" s="16"/>
      <c r="F98" s="16"/>
      <c r="G98" s="36"/>
      <c r="H98" s="16">
        <f>-H97*Tax_Rate</f>
        <v>-96.944834666666679</v>
      </c>
      <c r="I98" s="16">
        <f>-I97*Tax_Rate</f>
        <v>-104.16748337333334</v>
      </c>
      <c r="J98" s="16">
        <f>-J97*Tax_Rate</f>
        <v>-110.60272826463336</v>
      </c>
      <c r="K98" s="16">
        <f>-K97*Tax_Rate</f>
        <v>-116.80476554418301</v>
      </c>
      <c r="L98" s="16">
        <f>-L97*Tax_Rate</f>
        <v>-122.1732843715306</v>
      </c>
    </row>
    <row r="99" spans="2:12" outlineLevel="1" x14ac:dyDescent="0.25">
      <c r="C99" s="62" t="s">
        <v>50</v>
      </c>
      <c r="D99" s="107" t="s">
        <v>38</v>
      </c>
      <c r="E99" s="60"/>
      <c r="F99" s="60"/>
      <c r="G99" s="60"/>
      <c r="H99" s="66">
        <f>+H97+H98</f>
        <v>193.88966933333336</v>
      </c>
      <c r="I99" s="66">
        <f t="shared" ref="I99:L99" si="49">+I97+I98</f>
        <v>208.33496674666671</v>
      </c>
      <c r="J99" s="66">
        <f t="shared" si="49"/>
        <v>221.20545652926671</v>
      </c>
      <c r="K99" s="66">
        <f t="shared" si="49"/>
        <v>233.60953108836605</v>
      </c>
      <c r="L99" s="66">
        <f t="shared" si="49"/>
        <v>244.3465687430612</v>
      </c>
    </row>
    <row r="100" spans="2:12" x14ac:dyDescent="0.25">
      <c r="C100" s="32"/>
      <c r="E100" s="16"/>
      <c r="F100" s="16"/>
      <c r="G100" s="36"/>
      <c r="H100" s="16"/>
      <c r="I100" s="16"/>
      <c r="J100" s="16"/>
      <c r="K100" s="16"/>
      <c r="L100" s="16"/>
    </row>
    <row r="101" spans="2:12" x14ac:dyDescent="0.25">
      <c r="B101" s="21"/>
      <c r="C101" s="22"/>
      <c r="D101" s="23"/>
      <c r="E101" s="24" t="str">
        <f>$E$71</f>
        <v>Historical</v>
      </c>
      <c r="F101" s="25"/>
      <c r="G101" s="25"/>
      <c r="H101" s="26" t="str">
        <f>$H$71</f>
        <v>Projected</v>
      </c>
      <c r="I101" s="27"/>
      <c r="J101" s="25"/>
      <c r="K101" s="25"/>
      <c r="L101" s="25"/>
    </row>
    <row r="102" spans="2:12" x14ac:dyDescent="0.25">
      <c r="B102" s="59" t="s">
        <v>53</v>
      </c>
      <c r="C102" s="28"/>
      <c r="D102" s="82" t="str">
        <f>+$D$36</f>
        <v>Units:</v>
      </c>
      <c r="E102" s="1">
        <f>$E$72</f>
        <v>41639</v>
      </c>
      <c r="F102" s="1">
        <f>$F$72</f>
        <v>42004</v>
      </c>
      <c r="G102" s="2">
        <f>$G$72</f>
        <v>42369</v>
      </c>
      <c r="H102" s="150">
        <f>$H$72</f>
        <v>42735</v>
      </c>
      <c r="I102" s="1">
        <f>$I$72</f>
        <v>43100</v>
      </c>
      <c r="J102" s="1">
        <f>$J$72</f>
        <v>43465</v>
      </c>
      <c r="K102" s="1">
        <f>$K$72</f>
        <v>43830</v>
      </c>
      <c r="L102" s="1">
        <f>$L$72</f>
        <v>44196</v>
      </c>
    </row>
    <row r="103" spans="2:12" outlineLevel="1" x14ac:dyDescent="0.25">
      <c r="G103" s="29"/>
    </row>
    <row r="104" spans="2:12" outlineLevel="1" x14ac:dyDescent="0.25">
      <c r="C104" s="3" t="s">
        <v>49</v>
      </c>
      <c r="D104" s="101" t="s">
        <v>38</v>
      </c>
      <c r="G104" s="40"/>
      <c r="H104" s="115"/>
      <c r="I104" s="115"/>
      <c r="J104" s="115"/>
      <c r="K104" s="115"/>
      <c r="L104" s="115"/>
    </row>
    <row r="105" spans="2:12" outlineLevel="1" x14ac:dyDescent="0.25">
      <c r="G105" s="40"/>
    </row>
    <row r="106" spans="2:12" outlineLevel="1" x14ac:dyDescent="0.25">
      <c r="C106" s="113" t="s">
        <v>52</v>
      </c>
      <c r="D106" s="101" t="s">
        <v>38</v>
      </c>
      <c r="G106" s="40"/>
      <c r="H106" s="16"/>
      <c r="I106" s="16"/>
      <c r="J106" s="16"/>
      <c r="K106" s="16"/>
      <c r="L106" s="16"/>
    </row>
    <row r="107" spans="2:12" outlineLevel="1" x14ac:dyDescent="0.25">
      <c r="C107" s="90" t="s">
        <v>105</v>
      </c>
      <c r="D107" s="101" t="s">
        <v>38</v>
      </c>
      <c r="G107" s="40"/>
      <c r="H107" s="16"/>
      <c r="I107" s="16"/>
      <c r="J107" s="16"/>
      <c r="K107" s="16"/>
      <c r="L107" s="16"/>
    </row>
    <row r="108" spans="2:12" outlineLevel="1" x14ac:dyDescent="0.25">
      <c r="C108" s="90" t="s">
        <v>106</v>
      </c>
      <c r="D108" s="102" t="s">
        <v>38</v>
      </c>
      <c r="G108" s="40"/>
      <c r="H108" s="16"/>
      <c r="I108" s="16"/>
      <c r="J108" s="16"/>
      <c r="K108" s="16"/>
      <c r="L108" s="16"/>
    </row>
    <row r="109" spans="2:12" outlineLevel="1" x14ac:dyDescent="0.25">
      <c r="C109" s="62" t="s">
        <v>116</v>
      </c>
      <c r="D109" s="101" t="s">
        <v>38</v>
      </c>
      <c r="E109" s="29"/>
      <c r="F109" s="29"/>
      <c r="G109" s="98">
        <v>350</v>
      </c>
      <c r="H109" s="66"/>
      <c r="I109" s="66"/>
      <c r="J109" s="66"/>
      <c r="K109" s="66"/>
      <c r="L109" s="66"/>
    </row>
    <row r="110" spans="2:12" outlineLevel="1" x14ac:dyDescent="0.25">
      <c r="G110" s="40"/>
      <c r="H110" s="16"/>
      <c r="I110" s="16"/>
      <c r="J110" s="16"/>
      <c r="K110" s="16"/>
      <c r="L110" s="16"/>
    </row>
    <row r="111" spans="2:12" outlineLevel="1" x14ac:dyDescent="0.25">
      <c r="C111" s="89" t="s">
        <v>14</v>
      </c>
      <c r="D111" s="101" t="s">
        <v>38</v>
      </c>
      <c r="G111" s="40"/>
      <c r="H111" s="16"/>
      <c r="I111" s="16"/>
      <c r="J111" s="16"/>
      <c r="K111" s="16"/>
      <c r="L111" s="16"/>
    </row>
    <row r="112" spans="2:12" outlineLevel="1" x14ac:dyDescent="0.25">
      <c r="C112" s="89" t="s">
        <v>90</v>
      </c>
      <c r="D112" s="101" t="s">
        <v>38</v>
      </c>
      <c r="H112" s="16"/>
      <c r="I112" s="16"/>
      <c r="J112" s="16"/>
      <c r="K112" s="16"/>
      <c r="L112" s="16"/>
    </row>
    <row r="113" spans="2:12" x14ac:dyDescent="0.25">
      <c r="G113" s="40"/>
      <c r="H113" s="16"/>
      <c r="I113" s="16"/>
      <c r="J113" s="16"/>
      <c r="K113" s="16"/>
      <c r="L113" s="16"/>
    </row>
    <row r="114" spans="2:12" x14ac:dyDescent="0.25">
      <c r="B114" s="45"/>
      <c r="C114" s="46"/>
      <c r="D114" s="47"/>
      <c r="E114" s="24" t="str">
        <f>$E$71</f>
        <v>Historical</v>
      </c>
      <c r="F114" s="25"/>
      <c r="G114" s="25"/>
      <c r="H114" s="26" t="str">
        <f>$H$71</f>
        <v>Projected</v>
      </c>
      <c r="I114" s="27"/>
      <c r="J114" s="25"/>
      <c r="K114" s="25"/>
      <c r="L114" s="25"/>
    </row>
    <row r="115" spans="2:12" x14ac:dyDescent="0.25">
      <c r="B115" s="5" t="s">
        <v>62</v>
      </c>
      <c r="C115" s="6"/>
      <c r="D115" s="82" t="str">
        <f>+$D$36</f>
        <v>Units:</v>
      </c>
      <c r="E115" s="1">
        <f>$E$72</f>
        <v>41639</v>
      </c>
      <c r="F115" s="1">
        <f>$F$72</f>
        <v>42004</v>
      </c>
      <c r="G115" s="1">
        <f>$G$72</f>
        <v>42369</v>
      </c>
      <c r="H115" s="150">
        <f>$H$72</f>
        <v>42735</v>
      </c>
      <c r="I115" s="1">
        <f>$I$72</f>
        <v>43100</v>
      </c>
      <c r="J115" s="1">
        <f>$J$72</f>
        <v>43465</v>
      </c>
      <c r="K115" s="1">
        <f>$K$72</f>
        <v>43830</v>
      </c>
      <c r="L115" s="1">
        <f>$L$72</f>
        <v>44196</v>
      </c>
    </row>
    <row r="116" spans="2:12" outlineLevel="1" x14ac:dyDescent="0.25">
      <c r="C116" s="4"/>
      <c r="E116" s="43"/>
      <c r="F116" s="43"/>
      <c r="G116" s="44"/>
      <c r="H116" s="43"/>
      <c r="I116" s="43"/>
      <c r="J116" s="43"/>
      <c r="K116" s="43"/>
      <c r="L116" s="43"/>
    </row>
    <row r="117" spans="2:12" outlineLevel="1" x14ac:dyDescent="0.25">
      <c r="C117" s="4" t="s">
        <v>44</v>
      </c>
      <c r="D117" s="101" t="s">
        <v>38</v>
      </c>
      <c r="E117" s="43">
        <f t="shared" ref="E117:G117" si="50">+E86</f>
        <v>316.10000000000002</v>
      </c>
      <c r="F117" s="43">
        <f t="shared" si="50"/>
        <v>300</v>
      </c>
      <c r="G117" s="43">
        <f t="shared" si="50"/>
        <v>385.6</v>
      </c>
      <c r="H117" s="43">
        <f>+H86</f>
        <v>389.10431200000005</v>
      </c>
      <c r="I117" s="43">
        <f t="shared" ref="I117:L117" si="51">+I86</f>
        <v>422.33810661000007</v>
      </c>
      <c r="J117" s="43">
        <f t="shared" si="51"/>
        <v>454.05151497010013</v>
      </c>
      <c r="K117" s="43">
        <f t="shared" si="51"/>
        <v>481.47547498571407</v>
      </c>
      <c r="L117" s="43">
        <f t="shared" si="51"/>
        <v>506.29877985050041</v>
      </c>
    </row>
    <row r="118" spans="2:12" outlineLevel="1" x14ac:dyDescent="0.25">
      <c r="C118" s="14" t="s">
        <v>57</v>
      </c>
      <c r="D118" s="101" t="s">
        <v>38</v>
      </c>
      <c r="E118" s="35">
        <v>-149.19999999999999</v>
      </c>
      <c r="F118" s="35">
        <v>-122.2</v>
      </c>
      <c r="G118" s="38">
        <v>-98.1</v>
      </c>
      <c r="H118" s="16">
        <f>-H68*H74</f>
        <v>-184.25589000000002</v>
      </c>
      <c r="I118" s="16">
        <f t="shared" ref="I118:L118" si="52">-I68*I74</f>
        <v>-193.82762910000002</v>
      </c>
      <c r="J118" s="16">
        <f t="shared" si="52"/>
        <v>-169.78240302250006</v>
      </c>
      <c r="K118" s="16">
        <f t="shared" si="52"/>
        <v>-177.10970047725004</v>
      </c>
      <c r="L118" s="16">
        <f t="shared" si="52"/>
        <v>-147.13571235358805</v>
      </c>
    </row>
    <row r="119" spans="2:12" outlineLevel="1" x14ac:dyDescent="0.25">
      <c r="C119" s="14" t="s">
        <v>58</v>
      </c>
      <c r="D119" s="101" t="s">
        <v>38</v>
      </c>
      <c r="E119" s="35">
        <v>-7.9</v>
      </c>
      <c r="F119" s="35">
        <v>-33.9</v>
      </c>
      <c r="G119" s="38">
        <v>36.299999999999997</v>
      </c>
      <c r="H119" s="16">
        <f>+H69*(H74-G74)</f>
        <v>-12.213150000000041</v>
      </c>
      <c r="I119" s="16">
        <f t="shared" ref="I119:L119" si="53">+I69*(I74-H74)</f>
        <v>-15.952898499999993</v>
      </c>
      <c r="J119" s="16">
        <f t="shared" si="53"/>
        <v>-13.21500603600005</v>
      </c>
      <c r="K119" s="16">
        <f t="shared" si="53"/>
        <v>-11.723675927599979</v>
      </c>
      <c r="L119" s="16">
        <f t="shared" si="53"/>
        <v>-8.1719279576820103</v>
      </c>
    </row>
    <row r="120" spans="2:12" outlineLevel="1" x14ac:dyDescent="0.25">
      <c r="C120" s="14" t="s">
        <v>59</v>
      </c>
      <c r="D120" s="101" t="s">
        <v>38</v>
      </c>
      <c r="E120" s="35"/>
      <c r="F120" s="35"/>
      <c r="G120" s="38"/>
      <c r="H120" s="16">
        <f>+H98</f>
        <v>-96.944834666666679</v>
      </c>
      <c r="I120" s="16">
        <f t="shared" ref="I120:L120" si="54">+I98</f>
        <v>-104.16748337333334</v>
      </c>
      <c r="J120" s="16">
        <f t="shared" si="54"/>
        <v>-110.60272826463336</v>
      </c>
      <c r="K120" s="16">
        <f t="shared" si="54"/>
        <v>-116.80476554418301</v>
      </c>
      <c r="L120" s="16">
        <f t="shared" si="54"/>
        <v>-122.1732843715306</v>
      </c>
    </row>
    <row r="121" spans="2:12" outlineLevel="1" x14ac:dyDescent="0.25">
      <c r="C121" s="14" t="s">
        <v>60</v>
      </c>
      <c r="D121" s="102" t="s">
        <v>38</v>
      </c>
      <c r="E121" s="35"/>
      <c r="F121" s="35"/>
      <c r="G121" s="38"/>
      <c r="H121" s="16"/>
      <c r="I121" s="16"/>
      <c r="J121" s="16"/>
      <c r="K121" s="16"/>
      <c r="L121" s="16"/>
    </row>
    <row r="122" spans="2:12" outlineLevel="1" x14ac:dyDescent="0.25">
      <c r="C122" s="62" t="s">
        <v>61</v>
      </c>
      <c r="D122" s="101" t="s">
        <v>38</v>
      </c>
      <c r="E122" s="56"/>
      <c r="F122" s="56"/>
      <c r="G122" s="56"/>
      <c r="H122" s="66">
        <f>SUM(H117:H121)</f>
        <v>95.690437333333307</v>
      </c>
      <c r="I122" s="66">
        <f t="shared" ref="I122:L122" si="55">SUM(I117:I121)</f>
        <v>108.3900956366667</v>
      </c>
      <c r="J122" s="66">
        <f t="shared" si="55"/>
        <v>160.45137764696671</v>
      </c>
      <c r="K122" s="66">
        <f t="shared" si="55"/>
        <v>175.83733303668106</v>
      </c>
      <c r="L122" s="66">
        <f t="shared" si="55"/>
        <v>228.8178551676998</v>
      </c>
    </row>
    <row r="123" spans="2:12" outlineLevel="1" x14ac:dyDescent="0.25">
      <c r="C123" s="4"/>
      <c r="E123" s="43"/>
      <c r="F123" s="43"/>
      <c r="G123" s="44"/>
      <c r="H123" s="43"/>
      <c r="I123" s="43"/>
      <c r="J123" s="43"/>
      <c r="K123" s="43"/>
      <c r="L123" s="43"/>
    </row>
    <row r="124" spans="2:12" outlineLevel="1" x14ac:dyDescent="0.25">
      <c r="C124" s="3" t="s">
        <v>63</v>
      </c>
      <c r="D124" s="101" t="s">
        <v>38</v>
      </c>
      <c r="E124" s="43"/>
      <c r="F124" s="43"/>
      <c r="G124" s="44"/>
      <c r="H124" s="100"/>
      <c r="I124" s="100"/>
      <c r="J124" s="100"/>
      <c r="K124" s="100"/>
      <c r="L124" s="100"/>
    </row>
    <row r="125" spans="2:12" outlineLevel="1" x14ac:dyDescent="0.25">
      <c r="C125" s="90" t="s">
        <v>107</v>
      </c>
      <c r="D125" s="101" t="s">
        <v>38</v>
      </c>
      <c r="E125" s="43"/>
      <c r="F125" s="43"/>
      <c r="G125" s="44"/>
      <c r="H125" s="100"/>
      <c r="I125" s="100"/>
      <c r="J125" s="100"/>
      <c r="K125" s="100"/>
      <c r="L125" s="100"/>
    </row>
    <row r="126" spans="2:12" outlineLevel="1" x14ac:dyDescent="0.25">
      <c r="C126" s="90" t="s">
        <v>115</v>
      </c>
      <c r="D126" s="102" t="s">
        <v>38</v>
      </c>
      <c r="E126" s="43"/>
      <c r="F126" s="43"/>
      <c r="G126" s="44"/>
      <c r="H126" s="16"/>
      <c r="I126" s="16"/>
      <c r="J126" s="16"/>
      <c r="K126" s="16"/>
      <c r="L126" s="16"/>
    </row>
    <row r="127" spans="2:12" outlineLevel="1" x14ac:dyDescent="0.25">
      <c r="C127" s="62" t="s">
        <v>65</v>
      </c>
      <c r="D127" s="101" t="s">
        <v>38</v>
      </c>
      <c r="E127" s="56"/>
      <c r="F127" s="56"/>
      <c r="G127" s="61"/>
      <c r="H127" s="56"/>
      <c r="I127" s="56"/>
      <c r="J127" s="56"/>
      <c r="K127" s="56"/>
      <c r="L127" s="56"/>
    </row>
    <row r="128" spans="2:12" x14ac:dyDescent="0.25">
      <c r="C128" s="4"/>
      <c r="G128" s="40"/>
      <c r="H128" s="16"/>
      <c r="I128" s="16"/>
      <c r="J128" s="16"/>
      <c r="K128" s="16"/>
      <c r="L128" s="16"/>
    </row>
    <row r="129" spans="2:12" x14ac:dyDescent="0.25">
      <c r="B129" s="45"/>
      <c r="C129" s="46"/>
      <c r="D129" s="47"/>
      <c r="E129" s="24" t="str">
        <f>$E$71</f>
        <v>Historical</v>
      </c>
      <c r="F129" s="25"/>
      <c r="G129" s="25"/>
      <c r="H129" s="26" t="str">
        <f>$H$71</f>
        <v>Projected</v>
      </c>
      <c r="I129" s="27"/>
      <c r="J129" s="25"/>
      <c r="K129" s="25"/>
      <c r="L129" s="25"/>
    </row>
    <row r="130" spans="2:12" x14ac:dyDescent="0.25">
      <c r="B130" s="5" t="s">
        <v>15</v>
      </c>
      <c r="C130" s="6"/>
      <c r="D130" s="82" t="str">
        <f>+$D$36</f>
        <v>Units:</v>
      </c>
      <c r="E130" s="1">
        <f>$E$72</f>
        <v>41639</v>
      </c>
      <c r="F130" s="1">
        <f>$F$72</f>
        <v>42004</v>
      </c>
      <c r="G130" s="2">
        <f>$G$72</f>
        <v>42369</v>
      </c>
      <c r="H130" s="150">
        <f>$H$72</f>
        <v>42735</v>
      </c>
      <c r="I130" s="1">
        <f>$I$72</f>
        <v>43100</v>
      </c>
      <c r="J130" s="1">
        <f>$J$72</f>
        <v>43465</v>
      </c>
      <c r="K130" s="1">
        <f>$K$72</f>
        <v>43830</v>
      </c>
      <c r="L130" s="1">
        <f>$L$72</f>
        <v>44196</v>
      </c>
    </row>
    <row r="131" spans="2:12" outlineLevel="1" x14ac:dyDescent="0.25">
      <c r="B131" s="85"/>
      <c r="C131" s="86"/>
      <c r="D131" s="87"/>
      <c r="E131" s="88"/>
      <c r="F131" s="88"/>
      <c r="G131" s="88"/>
      <c r="H131" s="88"/>
      <c r="I131" s="88"/>
      <c r="J131" s="88"/>
      <c r="K131" s="88"/>
      <c r="L131" s="88"/>
    </row>
    <row r="132" spans="2:12" outlineLevel="1" x14ac:dyDescent="0.25">
      <c r="B132" s="85"/>
      <c r="C132" s="94" t="s">
        <v>95</v>
      </c>
      <c r="D132" s="103" t="s">
        <v>82</v>
      </c>
      <c r="E132" s="88"/>
      <c r="F132" s="88"/>
      <c r="G132" s="88"/>
      <c r="H132" s="95">
        <v>1.2E-2</v>
      </c>
      <c r="I132" s="95">
        <v>1.4999999999999999E-2</v>
      </c>
      <c r="J132" s="95">
        <v>1.7999999999999999E-2</v>
      </c>
      <c r="K132" s="95">
        <v>0.02</v>
      </c>
      <c r="L132" s="95">
        <v>2.1999999999999999E-2</v>
      </c>
    </row>
    <row r="133" spans="2:12" outlineLevel="1" x14ac:dyDescent="0.25">
      <c r="B133" s="85"/>
      <c r="C133" s="94" t="s">
        <v>114</v>
      </c>
      <c r="D133" s="103" t="s">
        <v>82</v>
      </c>
      <c r="E133" s="88"/>
      <c r="F133" s="88"/>
      <c r="G133" s="69">
        <v>0.05</v>
      </c>
      <c r="H133" s="88"/>
      <c r="I133" s="88"/>
      <c r="J133" s="88"/>
      <c r="K133" s="88"/>
      <c r="L133" s="88"/>
    </row>
    <row r="134" spans="2:12" outlineLevel="1" x14ac:dyDescent="0.25">
      <c r="B134" s="85"/>
      <c r="C134" s="86"/>
      <c r="D134" s="87"/>
      <c r="E134" s="88"/>
      <c r="F134" s="88"/>
      <c r="G134" s="88"/>
      <c r="H134" s="88"/>
      <c r="I134" s="88"/>
      <c r="J134" s="88"/>
      <c r="K134" s="88"/>
      <c r="L134" s="88"/>
    </row>
    <row r="135" spans="2:12" ht="14.45" customHeight="1" outlineLevel="1" x14ac:dyDescent="0.25">
      <c r="C135" s="12" t="s">
        <v>28</v>
      </c>
      <c r="D135" s="12"/>
      <c r="E135" s="12"/>
      <c r="F135" s="12"/>
      <c r="G135" s="12"/>
      <c r="H135" s="12"/>
      <c r="I135" s="12"/>
      <c r="J135" s="12"/>
      <c r="K135" s="12"/>
      <c r="L135" s="12"/>
    </row>
    <row r="136" spans="2:12" ht="14.45" customHeight="1" outlineLevel="1" x14ac:dyDescent="0.25">
      <c r="C136" s="14" t="s">
        <v>63</v>
      </c>
      <c r="D136" s="101" t="s">
        <v>38</v>
      </c>
      <c r="G136" s="40"/>
      <c r="H136" s="16"/>
      <c r="I136" s="16"/>
      <c r="J136" s="16"/>
      <c r="K136" s="16"/>
      <c r="L136" s="16"/>
    </row>
    <row r="137" spans="2:12" ht="14.45" customHeight="1" outlineLevel="1" x14ac:dyDescent="0.25">
      <c r="C137" s="91" t="s">
        <v>107</v>
      </c>
      <c r="D137" s="101" t="s">
        <v>38</v>
      </c>
      <c r="G137" s="40"/>
      <c r="H137" s="16"/>
      <c r="I137" s="16"/>
      <c r="J137" s="16"/>
      <c r="K137" s="16"/>
      <c r="L137" s="16"/>
    </row>
    <row r="138" spans="2:12" ht="14.45" customHeight="1" outlineLevel="1" x14ac:dyDescent="0.25">
      <c r="C138" s="91" t="s">
        <v>108</v>
      </c>
      <c r="D138" s="101" t="s">
        <v>38</v>
      </c>
      <c r="G138" s="40"/>
      <c r="H138" s="16"/>
      <c r="I138" s="16"/>
      <c r="J138" s="16"/>
      <c r="K138" s="16"/>
      <c r="L138" s="16"/>
    </row>
    <row r="139" spans="2:12" ht="14.45" customHeight="1" outlineLevel="1" x14ac:dyDescent="0.25">
      <c r="C139" s="91" t="s">
        <v>113</v>
      </c>
      <c r="D139" s="102" t="s">
        <v>38</v>
      </c>
      <c r="G139" s="40"/>
      <c r="H139" s="41"/>
      <c r="I139" s="41"/>
      <c r="J139" s="41"/>
      <c r="K139" s="41"/>
      <c r="L139" s="41"/>
    </row>
    <row r="140" spans="2:12" ht="14.45" customHeight="1" outlineLevel="1" x14ac:dyDescent="0.25">
      <c r="C140" s="92" t="s">
        <v>109</v>
      </c>
      <c r="D140" s="101" t="s">
        <v>38</v>
      </c>
      <c r="E140" s="29"/>
      <c r="F140" s="29"/>
      <c r="G140" s="29"/>
      <c r="H140" s="84"/>
      <c r="I140" s="84"/>
      <c r="J140" s="84"/>
      <c r="K140" s="84"/>
      <c r="L140" s="84"/>
    </row>
    <row r="141" spans="2:12" ht="14.45" customHeight="1" outlineLevel="1" x14ac:dyDescent="0.25">
      <c r="C141" s="14"/>
      <c r="G141" s="40"/>
      <c r="H141" s="48"/>
      <c r="I141" s="48"/>
      <c r="J141" s="48"/>
      <c r="K141" s="48"/>
      <c r="L141" s="48"/>
    </row>
    <row r="142" spans="2:12" ht="14.45" customHeight="1" outlineLevel="1" x14ac:dyDescent="0.25">
      <c r="C142" s="90" t="s">
        <v>110</v>
      </c>
      <c r="D142" s="101" t="s">
        <v>38</v>
      </c>
      <c r="G142" s="40"/>
      <c r="H142" s="16"/>
      <c r="I142" s="16"/>
      <c r="J142" s="16"/>
      <c r="K142" s="16"/>
      <c r="L142" s="16"/>
    </row>
    <row r="143" spans="2:12" ht="14.45" customHeight="1" outlineLevel="1" x14ac:dyDescent="0.25">
      <c r="C143" s="99" t="s">
        <v>111</v>
      </c>
      <c r="D143" s="102" t="s">
        <v>38</v>
      </c>
      <c r="E143" s="39"/>
      <c r="F143" s="39"/>
      <c r="G143" s="39"/>
      <c r="H143" s="41"/>
      <c r="I143" s="41"/>
      <c r="J143" s="41"/>
      <c r="K143" s="41"/>
      <c r="L143" s="41"/>
    </row>
    <row r="144" spans="2:12" ht="14.45" customHeight="1" outlineLevel="1" x14ac:dyDescent="0.25">
      <c r="C144" s="50" t="s">
        <v>112</v>
      </c>
      <c r="D144" s="101" t="s">
        <v>38</v>
      </c>
      <c r="G144" s="61"/>
      <c r="H144" s="84"/>
      <c r="I144" s="84"/>
      <c r="J144" s="84"/>
      <c r="K144" s="84"/>
      <c r="L144" s="84"/>
    </row>
    <row r="145" spans="3:12" ht="14.45" customHeight="1" outlineLevel="1" x14ac:dyDescent="0.25">
      <c r="C145" s="90" t="s">
        <v>94</v>
      </c>
      <c r="D145" s="101" t="s">
        <v>38</v>
      </c>
      <c r="G145" s="40"/>
      <c r="H145" s="16"/>
      <c r="I145" s="16"/>
      <c r="J145" s="16"/>
      <c r="K145" s="16"/>
      <c r="L145" s="16"/>
    </row>
    <row r="146" spans="3:12" ht="14.45" customHeight="1" outlineLevel="1" x14ac:dyDescent="0.25">
      <c r="C146" s="14"/>
      <c r="G146" s="40"/>
      <c r="H146" s="48"/>
      <c r="I146" s="48"/>
      <c r="J146" s="48"/>
      <c r="K146" s="48"/>
      <c r="L146" s="48"/>
    </row>
    <row r="147" spans="3:12" outlineLevel="1" x14ac:dyDescent="0.25">
      <c r="C147" s="12" t="s">
        <v>16</v>
      </c>
      <c r="D147" s="12"/>
      <c r="E147" s="12"/>
      <c r="F147" s="12"/>
      <c r="G147" s="12"/>
      <c r="H147" s="12"/>
      <c r="I147" s="12"/>
      <c r="J147" s="12"/>
      <c r="K147" s="12"/>
      <c r="L147" s="12"/>
    </row>
    <row r="148" spans="3:12" outlineLevel="1" x14ac:dyDescent="0.25">
      <c r="C148" s="90" t="s">
        <v>93</v>
      </c>
      <c r="D148" s="101" t="s">
        <v>38</v>
      </c>
      <c r="G148" s="40"/>
      <c r="H148" s="16"/>
      <c r="I148" s="16"/>
      <c r="J148" s="16"/>
      <c r="K148" s="16"/>
      <c r="L148" s="16"/>
    </row>
    <row r="149" spans="3:12" outlineLevel="1" x14ac:dyDescent="0.25">
      <c r="C149" s="91" t="s">
        <v>91</v>
      </c>
      <c r="D149" s="102" t="s">
        <v>38</v>
      </c>
      <c r="G149" s="40"/>
      <c r="H149" s="41"/>
      <c r="I149" s="41"/>
      <c r="J149" s="41"/>
      <c r="K149" s="41"/>
      <c r="L149" s="41"/>
    </row>
    <row r="150" spans="3:12" outlineLevel="1" x14ac:dyDescent="0.25">
      <c r="C150" s="92" t="s">
        <v>92</v>
      </c>
      <c r="D150" s="101" t="s">
        <v>38</v>
      </c>
      <c r="E150" s="29"/>
      <c r="F150" s="29"/>
      <c r="G150" s="93"/>
      <c r="H150" s="84"/>
      <c r="I150" s="84"/>
      <c r="J150" s="84"/>
      <c r="K150" s="84"/>
      <c r="L150" s="84"/>
    </row>
    <row r="151" spans="3:12" outlineLevel="1" x14ac:dyDescent="0.25">
      <c r="C151" s="90" t="s">
        <v>94</v>
      </c>
      <c r="D151" s="101" t="s">
        <v>38</v>
      </c>
      <c r="G151" s="40"/>
      <c r="H151" s="16"/>
      <c r="I151" s="16"/>
      <c r="J151" s="16"/>
      <c r="K151" s="16"/>
      <c r="L151" s="16"/>
    </row>
    <row r="152" spans="3:12" outlineLevel="1" x14ac:dyDescent="0.25">
      <c r="C152" s="14"/>
      <c r="G152" s="40"/>
      <c r="H152" s="96"/>
      <c r="I152" s="96"/>
      <c r="J152" s="96"/>
      <c r="K152" s="96"/>
      <c r="L152" s="96"/>
    </row>
    <row r="153" spans="3:12" outlineLevel="1" x14ac:dyDescent="0.25">
      <c r="C153" s="12" t="s">
        <v>17</v>
      </c>
      <c r="D153" s="12"/>
      <c r="E153" s="12"/>
      <c r="F153" s="12"/>
      <c r="G153" s="12"/>
      <c r="H153" s="12"/>
      <c r="I153" s="12"/>
      <c r="J153" s="12"/>
      <c r="K153" s="12"/>
      <c r="L153" s="12"/>
    </row>
    <row r="154" spans="3:12" outlineLevel="1" x14ac:dyDescent="0.25">
      <c r="C154" s="90" t="s">
        <v>97</v>
      </c>
      <c r="D154" s="101" t="s">
        <v>38</v>
      </c>
      <c r="G154" s="40"/>
      <c r="H154" s="16"/>
      <c r="I154" s="16"/>
      <c r="J154" s="16"/>
      <c r="K154" s="16"/>
      <c r="L154" s="16"/>
    </row>
    <row r="155" spans="3:12" outlineLevel="1" x14ac:dyDescent="0.25">
      <c r="C155" s="91" t="s">
        <v>91</v>
      </c>
      <c r="D155" s="102" t="s">
        <v>38</v>
      </c>
      <c r="G155" s="40"/>
      <c r="H155" s="41"/>
      <c r="I155" s="41"/>
      <c r="J155" s="41"/>
      <c r="K155" s="41"/>
      <c r="L155" s="41"/>
    </row>
    <row r="156" spans="3:12" outlineLevel="1" x14ac:dyDescent="0.25">
      <c r="C156" s="92" t="s">
        <v>96</v>
      </c>
      <c r="D156" s="101" t="s">
        <v>38</v>
      </c>
      <c r="E156" s="29"/>
      <c r="F156" s="29"/>
      <c r="G156" s="93"/>
      <c r="H156" s="84"/>
      <c r="I156" s="84"/>
      <c r="J156" s="84"/>
      <c r="K156" s="84"/>
      <c r="L156" s="84"/>
    </row>
    <row r="157" spans="3:12" outlineLevel="1" x14ac:dyDescent="0.25">
      <c r="C157" s="90" t="s">
        <v>94</v>
      </c>
      <c r="D157" s="101" t="s">
        <v>38</v>
      </c>
      <c r="G157" s="40"/>
      <c r="H157" s="16"/>
      <c r="I157" s="16"/>
      <c r="J157" s="16"/>
      <c r="K157" s="16"/>
      <c r="L157" s="16"/>
    </row>
    <row r="158" spans="3:12" outlineLevel="1" x14ac:dyDescent="0.25">
      <c r="C158" s="14"/>
      <c r="G158" s="40"/>
      <c r="H158" s="16"/>
      <c r="I158" s="16"/>
      <c r="J158" s="16"/>
      <c r="K158" s="16"/>
      <c r="L158" s="16"/>
    </row>
    <row r="159" spans="3:12" outlineLevel="1" x14ac:dyDescent="0.25">
      <c r="C159" s="12" t="s">
        <v>36</v>
      </c>
      <c r="D159" s="12"/>
      <c r="E159" s="12"/>
      <c r="F159" s="12"/>
      <c r="G159" s="12"/>
      <c r="H159" s="12"/>
      <c r="I159" s="12"/>
      <c r="J159" s="12"/>
      <c r="K159" s="12"/>
      <c r="L159" s="12"/>
    </row>
    <row r="160" spans="3:12" outlineLevel="1" x14ac:dyDescent="0.25">
      <c r="C160" s="90" t="s">
        <v>99</v>
      </c>
      <c r="D160" s="101" t="s">
        <v>38</v>
      </c>
      <c r="G160" s="40"/>
      <c r="H160" s="16"/>
      <c r="I160" s="16"/>
      <c r="J160" s="16"/>
      <c r="K160" s="16"/>
      <c r="L160" s="16"/>
    </row>
    <row r="161" spans="2:12" outlineLevel="1" x14ac:dyDescent="0.25">
      <c r="C161" s="91" t="s">
        <v>91</v>
      </c>
      <c r="D161" s="101" t="s">
        <v>38</v>
      </c>
      <c r="G161" s="40"/>
      <c r="H161" s="36"/>
      <c r="I161" s="36"/>
      <c r="J161" s="36"/>
      <c r="K161" s="36"/>
      <c r="L161" s="36"/>
    </row>
    <row r="162" spans="2:12" outlineLevel="1" x14ac:dyDescent="0.25">
      <c r="C162" s="91" t="s">
        <v>101</v>
      </c>
      <c r="D162" s="102" t="s">
        <v>38</v>
      </c>
      <c r="G162" s="40"/>
      <c r="H162" s="41"/>
      <c r="I162" s="41"/>
      <c r="J162" s="41"/>
      <c r="K162" s="41"/>
      <c r="L162" s="41"/>
    </row>
    <row r="163" spans="2:12" outlineLevel="1" x14ac:dyDescent="0.25">
      <c r="C163" s="92" t="s">
        <v>98</v>
      </c>
      <c r="D163" s="101" t="s">
        <v>38</v>
      </c>
      <c r="E163" s="29"/>
      <c r="F163" s="29"/>
      <c r="G163" s="93"/>
      <c r="H163" s="84"/>
      <c r="I163" s="84"/>
      <c r="J163" s="84"/>
      <c r="K163" s="84"/>
      <c r="L163" s="84"/>
    </row>
    <row r="164" spans="2:12" outlineLevel="1" x14ac:dyDescent="0.25">
      <c r="C164" s="90" t="s">
        <v>100</v>
      </c>
      <c r="D164" s="101" t="s">
        <v>38</v>
      </c>
      <c r="G164" s="40"/>
      <c r="H164" s="16"/>
      <c r="I164" s="16"/>
      <c r="J164" s="16"/>
      <c r="K164" s="16"/>
      <c r="L164" s="16"/>
    </row>
    <row r="165" spans="2:12" outlineLevel="1" x14ac:dyDescent="0.25">
      <c r="C165" s="14"/>
      <c r="G165" s="40"/>
      <c r="H165" s="16"/>
      <c r="I165" s="16"/>
      <c r="J165" s="16"/>
      <c r="K165" s="16"/>
      <c r="L165" s="16"/>
    </row>
    <row r="166" spans="2:12" outlineLevel="1" x14ac:dyDescent="0.25">
      <c r="C166" s="12" t="s">
        <v>102</v>
      </c>
      <c r="D166" s="12"/>
      <c r="E166" s="12"/>
      <c r="F166" s="12"/>
      <c r="G166" s="12"/>
      <c r="H166" s="12"/>
      <c r="I166" s="12"/>
      <c r="J166" s="12"/>
      <c r="K166" s="12"/>
      <c r="L166" s="12"/>
    </row>
    <row r="167" spans="2:12" outlineLevel="1" x14ac:dyDescent="0.25">
      <c r="C167" s="90" t="s">
        <v>64</v>
      </c>
      <c r="D167" s="101" t="s">
        <v>38</v>
      </c>
      <c r="G167" s="40"/>
      <c r="H167" s="16"/>
      <c r="I167" s="16"/>
      <c r="J167" s="16"/>
      <c r="K167" s="16"/>
      <c r="L167" s="16"/>
    </row>
    <row r="168" spans="2:12" outlineLevel="1" x14ac:dyDescent="0.25">
      <c r="C168" s="90" t="s">
        <v>100</v>
      </c>
      <c r="D168" s="101" t="s">
        <v>38</v>
      </c>
      <c r="G168" s="40"/>
      <c r="H168" s="16"/>
      <c r="I168" s="16"/>
      <c r="J168" s="16"/>
      <c r="K168" s="16"/>
      <c r="L168" s="16"/>
    </row>
    <row r="169" spans="2:12" outlineLevel="1" x14ac:dyDescent="0.25">
      <c r="C169" s="90" t="s">
        <v>103</v>
      </c>
      <c r="D169" s="101" t="s">
        <v>38</v>
      </c>
      <c r="G169" s="40"/>
      <c r="H169" s="16"/>
      <c r="I169" s="16"/>
      <c r="J169" s="16"/>
      <c r="K169" s="16"/>
      <c r="L169" s="16"/>
    </row>
    <row r="171" spans="2:12" x14ac:dyDescent="0.25">
      <c r="B171" s="45"/>
      <c r="C171" s="46"/>
      <c r="D171" s="47"/>
      <c r="E171" s="24" t="str">
        <f>$E$71</f>
        <v>Historical</v>
      </c>
      <c r="F171" s="25"/>
      <c r="G171" s="25"/>
      <c r="H171" s="26" t="str">
        <f>$H$71</f>
        <v>Projected</v>
      </c>
      <c r="I171" s="27"/>
      <c r="J171" s="25"/>
      <c r="K171" s="25"/>
      <c r="L171" s="25"/>
    </row>
    <row r="172" spans="2:12" x14ac:dyDescent="0.25">
      <c r="B172" s="5" t="s">
        <v>138</v>
      </c>
      <c r="C172" s="6"/>
      <c r="D172" s="82" t="str">
        <f>+$D$36</f>
        <v>Units:</v>
      </c>
      <c r="E172" s="1">
        <f>$E$72</f>
        <v>41639</v>
      </c>
      <c r="F172" s="1">
        <f>$F$72</f>
        <v>42004</v>
      </c>
      <c r="G172" s="2">
        <f>$G$72</f>
        <v>42369</v>
      </c>
      <c r="H172" s="150">
        <f>$H$72</f>
        <v>42735</v>
      </c>
      <c r="I172" s="1">
        <f>$I$72</f>
        <v>43100</v>
      </c>
      <c r="J172" s="1">
        <f>$J$72</f>
        <v>43465</v>
      </c>
      <c r="K172" s="1">
        <f>$K$72</f>
        <v>43830</v>
      </c>
      <c r="L172" s="1">
        <f>$L$72</f>
        <v>44196</v>
      </c>
    </row>
    <row r="173" spans="2:12" outlineLevel="1" x14ac:dyDescent="0.25">
      <c r="G173" s="29"/>
    </row>
    <row r="174" spans="2:12" outlineLevel="1" x14ac:dyDescent="0.25">
      <c r="C174" s="89" t="s">
        <v>18</v>
      </c>
      <c r="D174" s="110" t="s">
        <v>132</v>
      </c>
      <c r="G174" s="40"/>
      <c r="H174" s="49">
        <v>1</v>
      </c>
      <c r="I174" s="106">
        <f>H174+1</f>
        <v>2</v>
      </c>
      <c r="J174" s="106">
        <f t="shared" ref="J174:L174" si="56">I174+1</f>
        <v>3</v>
      </c>
      <c r="K174" s="106">
        <f t="shared" si="56"/>
        <v>4</v>
      </c>
      <c r="L174" s="106">
        <f t="shared" si="56"/>
        <v>5</v>
      </c>
    </row>
    <row r="175" spans="2:12" outlineLevel="1" x14ac:dyDescent="0.25">
      <c r="G175" s="40"/>
    </row>
    <row r="176" spans="2:12" outlineLevel="1" x14ac:dyDescent="0.25">
      <c r="C176" s="4" t="s">
        <v>44</v>
      </c>
      <c r="D176" s="101" t="s">
        <v>38</v>
      </c>
      <c r="G176" s="40"/>
      <c r="H176" s="84"/>
      <c r="I176" s="84"/>
      <c r="J176" s="84"/>
      <c r="K176" s="84"/>
      <c r="L176" s="84"/>
    </row>
    <row r="177" spans="3:12" outlineLevel="1" x14ac:dyDescent="0.25">
      <c r="C177" s="90" t="s">
        <v>117</v>
      </c>
      <c r="D177" s="102" t="s">
        <v>133</v>
      </c>
      <c r="G177" s="40"/>
      <c r="H177" s="58"/>
      <c r="I177" s="58"/>
      <c r="J177" s="58"/>
      <c r="K177" s="58"/>
      <c r="L177" s="58"/>
    </row>
    <row r="178" spans="3:12" outlineLevel="1" x14ac:dyDescent="0.25">
      <c r="C178" s="62" t="s">
        <v>119</v>
      </c>
      <c r="D178" s="101" t="s">
        <v>38</v>
      </c>
      <c r="E178" s="29"/>
      <c r="F178" s="29"/>
      <c r="G178" s="29"/>
      <c r="H178" s="66"/>
      <c r="I178" s="66"/>
      <c r="J178" s="66"/>
      <c r="K178" s="66"/>
      <c r="L178" s="66"/>
    </row>
    <row r="179" spans="3:12" outlineLevel="1" x14ac:dyDescent="0.25">
      <c r="C179" s="104" t="s">
        <v>19</v>
      </c>
      <c r="D179" s="102" t="s">
        <v>38</v>
      </c>
      <c r="E179" s="39"/>
      <c r="F179" s="39"/>
      <c r="G179" s="39"/>
      <c r="H179" s="41"/>
      <c r="I179" s="41"/>
      <c r="J179" s="41"/>
      <c r="K179" s="41"/>
      <c r="L179" s="41"/>
    </row>
    <row r="180" spans="3:12" outlineLevel="1" x14ac:dyDescent="0.25">
      <c r="C180" s="42" t="s">
        <v>118</v>
      </c>
      <c r="D180" s="101" t="s">
        <v>38</v>
      </c>
      <c r="G180" s="40"/>
      <c r="H180" s="66"/>
      <c r="I180" s="66"/>
      <c r="J180" s="66"/>
      <c r="K180" s="66"/>
      <c r="L180" s="66"/>
    </row>
    <row r="181" spans="3:12" outlineLevel="1" x14ac:dyDescent="0.25">
      <c r="G181" s="40"/>
    </row>
    <row r="182" spans="3:12" outlineLevel="1" x14ac:dyDescent="0.25">
      <c r="C182" s="89" t="s">
        <v>120</v>
      </c>
      <c r="D182" s="101" t="s">
        <v>38</v>
      </c>
      <c r="G182" s="40"/>
      <c r="H182" s="16"/>
      <c r="I182" s="16"/>
      <c r="J182" s="16"/>
      <c r="K182" s="16"/>
      <c r="L182" s="16"/>
    </row>
    <row r="183" spans="3:12" outlineLevel="1" x14ac:dyDescent="0.25">
      <c r="C183" s="90" t="s">
        <v>121</v>
      </c>
      <c r="D183" s="102" t="s">
        <v>38</v>
      </c>
      <c r="G183" s="40"/>
      <c r="H183" s="16"/>
      <c r="I183" s="16"/>
      <c r="J183" s="16"/>
      <c r="K183" s="16"/>
      <c r="L183" s="16"/>
    </row>
    <row r="184" spans="3:12" outlineLevel="1" x14ac:dyDescent="0.25">
      <c r="C184" s="62" t="s">
        <v>122</v>
      </c>
      <c r="D184" s="101" t="s">
        <v>38</v>
      </c>
      <c r="E184" s="29"/>
      <c r="F184" s="29"/>
      <c r="G184" s="66"/>
      <c r="H184" s="66"/>
      <c r="I184" s="66"/>
      <c r="J184" s="66"/>
      <c r="K184" s="66"/>
      <c r="L184" s="66"/>
    </row>
    <row r="185" spans="3:12" outlineLevel="1" x14ac:dyDescent="0.25">
      <c r="G185" s="40"/>
    </row>
    <row r="186" spans="3:12" outlineLevel="1" x14ac:dyDescent="0.25">
      <c r="C186" s="12" t="s">
        <v>126</v>
      </c>
      <c r="D186" s="13"/>
      <c r="E186" s="13"/>
      <c r="F186" s="13"/>
      <c r="G186" s="13"/>
      <c r="H186" s="13"/>
      <c r="I186" s="13"/>
      <c r="J186" s="13"/>
      <c r="K186" s="13"/>
      <c r="L186" s="13"/>
    </row>
    <row r="187" spans="3:12" outlineLevel="1" x14ac:dyDescent="0.25">
      <c r="C187" s="90" t="s">
        <v>128</v>
      </c>
      <c r="D187" s="101" t="s">
        <v>133</v>
      </c>
      <c r="G187" s="40"/>
      <c r="H187" s="105"/>
      <c r="I187" s="105"/>
      <c r="J187" s="105"/>
      <c r="K187" s="105"/>
      <c r="L187" s="105"/>
    </row>
    <row r="188" spans="3:12" outlineLevel="1" x14ac:dyDescent="0.25">
      <c r="C188" s="90" t="s">
        <v>127</v>
      </c>
      <c r="D188" s="110" t="s">
        <v>82</v>
      </c>
      <c r="G188" s="40"/>
      <c r="H188" s="109"/>
      <c r="I188" s="109"/>
      <c r="J188" s="109"/>
      <c r="K188" s="109"/>
      <c r="L188" s="109"/>
    </row>
    <row r="189" spans="3:12" outlineLevel="1" x14ac:dyDescent="0.25">
      <c r="G189" s="40"/>
    </row>
    <row r="190" spans="3:12" outlineLevel="1" x14ac:dyDescent="0.25">
      <c r="C190" s="12" t="s">
        <v>156</v>
      </c>
      <c r="D190" s="13"/>
      <c r="E190" s="13"/>
      <c r="F190" s="13"/>
      <c r="G190" s="13"/>
      <c r="H190" s="13"/>
      <c r="I190" s="13"/>
      <c r="J190" s="13"/>
      <c r="K190" s="13"/>
      <c r="L190" s="13"/>
    </row>
    <row r="191" spans="3:12" outlineLevel="1" x14ac:dyDescent="0.25">
      <c r="C191" s="90" t="s">
        <v>129</v>
      </c>
      <c r="D191" s="101" t="s">
        <v>38</v>
      </c>
      <c r="G191" s="40"/>
      <c r="H191" s="16"/>
      <c r="I191" s="16"/>
      <c r="J191" s="16"/>
      <c r="K191" s="16"/>
      <c r="L191" s="16"/>
    </row>
    <row r="192" spans="3:12" outlineLevel="1" x14ac:dyDescent="0.25">
      <c r="C192" s="90" t="s">
        <v>130</v>
      </c>
      <c r="D192" s="102" t="s">
        <v>38</v>
      </c>
      <c r="G192" s="40"/>
      <c r="H192" s="16"/>
      <c r="I192" s="16"/>
      <c r="J192" s="16"/>
      <c r="K192" s="16"/>
      <c r="L192" s="16"/>
    </row>
    <row r="193" spans="2:12" outlineLevel="1" x14ac:dyDescent="0.25">
      <c r="C193" s="62" t="s">
        <v>102</v>
      </c>
      <c r="D193" s="101" t="s">
        <v>38</v>
      </c>
      <c r="E193" s="29"/>
      <c r="F193" s="29"/>
      <c r="G193" s="29"/>
      <c r="H193" s="66"/>
      <c r="I193" s="66"/>
      <c r="J193" s="66"/>
      <c r="K193" s="66"/>
      <c r="L193" s="66"/>
    </row>
    <row r="194" spans="2:12" outlineLevel="1" x14ac:dyDescent="0.25">
      <c r="G194" s="40"/>
    </row>
    <row r="195" spans="2:12" outlineLevel="1" x14ac:dyDescent="0.25">
      <c r="C195" s="90" t="s">
        <v>128</v>
      </c>
      <c r="D195" s="101" t="s">
        <v>133</v>
      </c>
      <c r="G195" s="40"/>
      <c r="H195" s="105"/>
      <c r="I195" s="105"/>
      <c r="J195" s="105"/>
      <c r="K195" s="105"/>
      <c r="L195" s="105"/>
    </row>
    <row r="196" spans="2:12" outlineLevel="1" x14ac:dyDescent="0.25">
      <c r="C196" s="90" t="s">
        <v>127</v>
      </c>
      <c r="D196" s="110" t="s">
        <v>82</v>
      </c>
      <c r="G196" s="40"/>
      <c r="H196" s="109"/>
      <c r="I196" s="109"/>
      <c r="J196" s="109"/>
      <c r="K196" s="109"/>
      <c r="L196" s="109"/>
    </row>
    <row r="197" spans="2:12" outlineLevel="1" x14ac:dyDescent="0.25">
      <c r="G197" s="40"/>
    </row>
    <row r="198" spans="2:12" outlineLevel="1" x14ac:dyDescent="0.25">
      <c r="C198" s="12" t="s">
        <v>157</v>
      </c>
      <c r="D198" s="13"/>
      <c r="E198" s="13"/>
      <c r="F198" s="13"/>
      <c r="G198" s="13"/>
      <c r="H198" s="13"/>
      <c r="I198" s="13"/>
      <c r="J198" s="13"/>
      <c r="K198" s="13"/>
      <c r="L198" s="13"/>
    </row>
    <row r="199" spans="2:12" outlineLevel="1" x14ac:dyDescent="0.25">
      <c r="C199" s="90" t="s">
        <v>131</v>
      </c>
      <c r="D199" s="102" t="s">
        <v>38</v>
      </c>
      <c r="G199" s="40"/>
      <c r="H199" s="16"/>
      <c r="I199" s="16"/>
      <c r="J199" s="16"/>
      <c r="K199" s="16"/>
      <c r="L199" s="16"/>
    </row>
    <row r="200" spans="2:12" outlineLevel="1" x14ac:dyDescent="0.25">
      <c r="C200" s="62" t="s">
        <v>102</v>
      </c>
      <c r="D200" s="101" t="s">
        <v>38</v>
      </c>
      <c r="E200" s="29"/>
      <c r="F200" s="29"/>
      <c r="G200" s="29"/>
      <c r="H200" s="66"/>
      <c r="I200" s="66"/>
      <c r="J200" s="66"/>
      <c r="K200" s="66"/>
      <c r="L200" s="66"/>
    </row>
    <row r="201" spans="2:12" outlineLevel="1" x14ac:dyDescent="0.25">
      <c r="G201" s="40"/>
    </row>
    <row r="202" spans="2:12" outlineLevel="1" x14ac:dyDescent="0.25">
      <c r="C202" s="90" t="s">
        <v>128</v>
      </c>
      <c r="D202" s="101" t="s">
        <v>133</v>
      </c>
      <c r="G202" s="40"/>
      <c r="H202" s="105"/>
      <c r="I202" s="105"/>
      <c r="J202" s="105"/>
      <c r="K202" s="105"/>
      <c r="L202" s="105"/>
    </row>
    <row r="203" spans="2:12" outlineLevel="1" x14ac:dyDescent="0.25">
      <c r="C203" s="90" t="s">
        <v>127</v>
      </c>
      <c r="D203" s="110" t="s">
        <v>82</v>
      </c>
      <c r="G203" s="40"/>
      <c r="H203" s="109"/>
      <c r="I203" s="109"/>
      <c r="J203" s="109"/>
      <c r="K203" s="109"/>
      <c r="L203" s="109"/>
    </row>
    <row r="205" spans="2:12" x14ac:dyDescent="0.25">
      <c r="B205" s="45"/>
      <c r="C205" s="46"/>
      <c r="D205" s="47"/>
      <c r="E205" s="24" t="str">
        <f>$E$71</f>
        <v>Historical</v>
      </c>
      <c r="F205" s="25"/>
      <c r="G205" s="25"/>
      <c r="H205" s="26" t="str">
        <f>$H$71</f>
        <v>Projected</v>
      </c>
      <c r="I205" s="27"/>
      <c r="J205" s="25"/>
      <c r="K205" s="25"/>
      <c r="L205" s="25"/>
    </row>
    <row r="206" spans="2:12" x14ac:dyDescent="0.25">
      <c r="B206" s="5" t="s">
        <v>137</v>
      </c>
      <c r="C206" s="6"/>
      <c r="D206" s="82" t="str">
        <f>+$D$36</f>
        <v>Units:</v>
      </c>
      <c r="E206" s="1">
        <f>$E$72</f>
        <v>41639</v>
      </c>
      <c r="F206" s="1">
        <f>$F$72</f>
        <v>42004</v>
      </c>
      <c r="G206" s="2">
        <f>$G$72</f>
        <v>42369</v>
      </c>
      <c r="H206" s="150">
        <f>$H$72</f>
        <v>42735</v>
      </c>
      <c r="I206" s="1">
        <f>$I$72</f>
        <v>43100</v>
      </c>
      <c r="J206" s="1">
        <f>$J$72</f>
        <v>43465</v>
      </c>
      <c r="K206" s="1">
        <f>$K$72</f>
        <v>43830</v>
      </c>
      <c r="L206" s="1">
        <f>$L$72</f>
        <v>44196</v>
      </c>
    </row>
    <row r="207" spans="2:12" outlineLevel="1" x14ac:dyDescent="0.25">
      <c r="G207" s="40"/>
      <c r="H207" s="40"/>
    </row>
    <row r="208" spans="2:12" outlineLevel="1" x14ac:dyDescent="0.25">
      <c r="C208" s="111" t="s">
        <v>140</v>
      </c>
      <c r="D208" s="111"/>
      <c r="E208" s="111" t="s">
        <v>139</v>
      </c>
      <c r="F208" s="111" t="s">
        <v>23</v>
      </c>
      <c r="G208" s="51" t="s">
        <v>136</v>
      </c>
      <c r="H208" s="40"/>
    </row>
    <row r="209" spans="3:12" outlineLevel="1" x14ac:dyDescent="0.25">
      <c r="C209" s="52" t="s">
        <v>141</v>
      </c>
      <c r="D209" s="52"/>
      <c r="E209" s="52" t="s">
        <v>128</v>
      </c>
      <c r="F209" s="52" t="s">
        <v>134</v>
      </c>
      <c r="G209" s="52" t="s">
        <v>135</v>
      </c>
      <c r="H209" s="40"/>
    </row>
    <row r="210" spans="3:12" outlineLevel="1" x14ac:dyDescent="0.25">
      <c r="C210" s="114" t="s">
        <v>142</v>
      </c>
      <c r="E210" s="112">
        <v>1.75</v>
      </c>
      <c r="F210" s="15"/>
      <c r="G210" s="69">
        <v>0.15</v>
      </c>
      <c r="H210" s="40"/>
    </row>
    <row r="211" spans="3:12" outlineLevel="1" x14ac:dyDescent="0.25">
      <c r="C211" s="114" t="s">
        <v>143</v>
      </c>
      <c r="E211" s="112">
        <v>2</v>
      </c>
      <c r="F211" s="16"/>
      <c r="G211" s="69">
        <v>0.17499999999999999</v>
      </c>
      <c r="H211" s="40"/>
    </row>
    <row r="212" spans="3:12" outlineLevel="1" x14ac:dyDescent="0.25">
      <c r="C212" s="114" t="s">
        <v>144</v>
      </c>
      <c r="E212" s="112">
        <v>2.25</v>
      </c>
      <c r="F212" s="16"/>
      <c r="G212" s="69">
        <v>0.2</v>
      </c>
      <c r="H212" s="40"/>
    </row>
    <row r="213" spans="3:12" outlineLevel="1" x14ac:dyDescent="0.25">
      <c r="C213" s="114" t="s">
        <v>145</v>
      </c>
      <c r="E213" s="112">
        <v>2.5</v>
      </c>
      <c r="F213" s="16"/>
      <c r="G213" s="69">
        <v>0.25</v>
      </c>
      <c r="H213" s="40"/>
    </row>
    <row r="214" spans="3:12" outlineLevel="1" x14ac:dyDescent="0.25">
      <c r="G214" s="40"/>
      <c r="H214" s="40"/>
    </row>
    <row r="215" spans="3:12" outlineLevel="1" x14ac:dyDescent="0.25">
      <c r="C215" s="12" t="s">
        <v>24</v>
      </c>
      <c r="D215" s="13"/>
      <c r="E215" s="13"/>
      <c r="F215" s="13"/>
      <c r="G215" s="13"/>
      <c r="H215" s="13"/>
      <c r="I215" s="13"/>
      <c r="J215" s="13"/>
      <c r="K215" s="13"/>
      <c r="L215" s="13"/>
    </row>
    <row r="216" spans="3:12" outlineLevel="1" x14ac:dyDescent="0.25">
      <c r="C216" s="14" t="str">
        <f>+$C$210</f>
        <v>Tier 1:</v>
      </c>
      <c r="D216" s="101" t="s">
        <v>38</v>
      </c>
      <c r="G216" s="40"/>
      <c r="H216" s="36"/>
      <c r="I216" s="36"/>
      <c r="J216" s="36"/>
      <c r="K216" s="36"/>
      <c r="L216" s="36"/>
    </row>
    <row r="217" spans="3:12" outlineLevel="1" x14ac:dyDescent="0.25">
      <c r="C217" s="14" t="str">
        <f>+$C$211</f>
        <v>Tier 2:</v>
      </c>
      <c r="D217" s="101" t="s">
        <v>38</v>
      </c>
      <c r="G217" s="40"/>
      <c r="H217" s="36"/>
      <c r="I217" s="36"/>
      <c r="J217" s="36"/>
      <c r="K217" s="36"/>
      <c r="L217" s="36"/>
    </row>
    <row r="218" spans="3:12" outlineLevel="1" x14ac:dyDescent="0.25">
      <c r="C218" s="14" t="str">
        <f>+$C$212</f>
        <v>Tier 3:</v>
      </c>
      <c r="D218" s="101" t="s">
        <v>38</v>
      </c>
      <c r="G218" s="40"/>
      <c r="H218" s="36"/>
      <c r="I218" s="36"/>
      <c r="J218" s="36"/>
      <c r="K218" s="36"/>
      <c r="L218" s="36"/>
    </row>
    <row r="219" spans="3:12" outlineLevel="1" x14ac:dyDescent="0.25">
      <c r="C219" s="14" t="str">
        <f>+$C$213</f>
        <v>Tier 4:</v>
      </c>
      <c r="D219" s="102" t="s">
        <v>38</v>
      </c>
      <c r="G219" s="40"/>
      <c r="H219" s="36"/>
      <c r="I219" s="36"/>
      <c r="J219" s="36"/>
      <c r="K219" s="36"/>
      <c r="L219" s="36"/>
    </row>
    <row r="220" spans="3:12" outlineLevel="1" x14ac:dyDescent="0.25">
      <c r="C220" s="62" t="s">
        <v>146</v>
      </c>
      <c r="D220" s="101" t="s">
        <v>38</v>
      </c>
      <c r="E220" s="29"/>
      <c r="F220" s="29"/>
      <c r="G220" s="29"/>
      <c r="H220" s="66"/>
      <c r="I220" s="66"/>
      <c r="J220" s="66"/>
      <c r="K220" s="66"/>
      <c r="L220" s="66"/>
    </row>
    <row r="221" spans="3:12" outlineLevel="1" x14ac:dyDescent="0.25">
      <c r="G221" s="40"/>
      <c r="H221" s="40"/>
    </row>
    <row r="222" spans="3:12" outlineLevel="1" x14ac:dyDescent="0.25">
      <c r="C222" s="12" t="s">
        <v>148</v>
      </c>
      <c r="D222" s="13"/>
      <c r="E222" s="13"/>
      <c r="F222" s="13"/>
      <c r="G222" s="13"/>
      <c r="H222" s="13"/>
      <c r="I222" s="13"/>
      <c r="J222" s="13"/>
      <c r="K222" s="13"/>
      <c r="L222" s="13"/>
    </row>
    <row r="223" spans="3:12" outlineLevel="1" x14ac:dyDescent="0.25">
      <c r="C223" s="114" t="s">
        <v>147</v>
      </c>
      <c r="D223" s="101" t="s">
        <v>38</v>
      </c>
      <c r="G223" s="40"/>
      <c r="H223" s="36"/>
      <c r="I223" s="36"/>
      <c r="J223" s="36"/>
      <c r="K223" s="36"/>
      <c r="L223" s="36"/>
    </row>
    <row r="224" spans="3:12" outlineLevel="1" x14ac:dyDescent="0.25">
      <c r="C224" s="90" t="s">
        <v>128</v>
      </c>
      <c r="D224" s="101" t="s">
        <v>133</v>
      </c>
      <c r="G224" s="40"/>
      <c r="H224" s="105"/>
      <c r="I224" s="105"/>
      <c r="J224" s="105"/>
      <c r="K224" s="105"/>
      <c r="L224" s="105"/>
    </row>
    <row r="225" spans="2:13" outlineLevel="1" x14ac:dyDescent="0.25">
      <c r="C225" s="90" t="s">
        <v>127</v>
      </c>
      <c r="D225" s="110" t="s">
        <v>82</v>
      </c>
      <c r="G225" s="40"/>
      <c r="H225" s="109"/>
      <c r="I225" s="109"/>
      <c r="J225" s="109"/>
      <c r="K225" s="109"/>
      <c r="L225" s="109"/>
    </row>
    <row r="226" spans="2:13" outlineLevel="1" x14ac:dyDescent="0.25">
      <c r="G226" s="40"/>
      <c r="H226" s="40"/>
      <c r="I226" s="40"/>
      <c r="J226" s="40"/>
      <c r="K226" s="40"/>
      <c r="L226" s="40"/>
    </row>
    <row r="227" spans="2:13" outlineLevel="1" x14ac:dyDescent="0.25">
      <c r="C227" s="12" t="s">
        <v>149</v>
      </c>
      <c r="D227" s="13"/>
      <c r="E227" s="13"/>
      <c r="F227" s="13"/>
      <c r="G227" s="13"/>
      <c r="H227" s="13"/>
      <c r="I227" s="13"/>
      <c r="J227" s="13"/>
      <c r="K227" s="13"/>
      <c r="L227" s="13"/>
    </row>
    <row r="228" spans="2:13" outlineLevel="1" x14ac:dyDescent="0.25">
      <c r="C228" s="114" t="s">
        <v>147</v>
      </c>
      <c r="D228" s="101" t="s">
        <v>38</v>
      </c>
      <c r="G228" s="40"/>
      <c r="H228" s="36"/>
      <c r="I228" s="36"/>
      <c r="J228" s="36"/>
      <c r="K228" s="36"/>
      <c r="L228" s="36"/>
    </row>
    <row r="229" spans="2:13" outlineLevel="1" x14ac:dyDescent="0.25">
      <c r="C229" s="90" t="s">
        <v>128</v>
      </c>
      <c r="D229" s="101" t="s">
        <v>133</v>
      </c>
      <c r="G229" s="40"/>
      <c r="H229" s="105"/>
      <c r="I229" s="105"/>
      <c r="J229" s="105"/>
      <c r="K229" s="105"/>
      <c r="L229" s="105"/>
    </row>
    <row r="230" spans="2:13" outlineLevel="1" x14ac:dyDescent="0.25">
      <c r="C230" s="90" t="s">
        <v>127</v>
      </c>
      <c r="D230" s="110" t="s">
        <v>82</v>
      </c>
      <c r="G230" s="40"/>
      <c r="H230" s="109"/>
      <c r="I230" s="109"/>
      <c r="J230" s="109"/>
      <c r="K230" s="109"/>
      <c r="L230" s="109"/>
    </row>
    <row r="232" spans="2:13" x14ac:dyDescent="0.25">
      <c r="B232" s="5" t="s">
        <v>150</v>
      </c>
      <c r="C232" s="6"/>
      <c r="D232" s="7"/>
      <c r="E232" s="8"/>
      <c r="F232" s="8"/>
      <c r="G232" s="8"/>
      <c r="H232" s="8"/>
      <c r="I232" s="7"/>
      <c r="J232" s="8"/>
      <c r="K232" s="8"/>
      <c r="L232" s="8"/>
    </row>
    <row r="233" spans="2:13" outlineLevel="1" x14ac:dyDescent="0.25"/>
    <row r="234" spans="2:13" outlineLevel="1" x14ac:dyDescent="0.25">
      <c r="C234" s="116"/>
      <c r="D234" s="117"/>
      <c r="E234" s="118" t="str">
        <f>TEXT($L$36,"YYYY")&amp;" Exit EV / EBITDA Multiple:"</f>
        <v>2020 Exit EV / EBITDA Multiple:</v>
      </c>
      <c r="F234" s="119"/>
      <c r="G234" s="119"/>
      <c r="H234" s="119"/>
      <c r="I234" s="119"/>
      <c r="J234" s="119"/>
      <c r="K234" s="119"/>
      <c r="L234" s="120"/>
    </row>
    <row r="235" spans="2:13" outlineLevel="1" x14ac:dyDescent="0.25">
      <c r="C235" s="121"/>
      <c r="D235" s="122"/>
      <c r="E235" s="129"/>
      <c r="F235" s="130"/>
      <c r="G235" s="130"/>
      <c r="H235" s="130"/>
      <c r="I235" s="133"/>
      <c r="J235" s="130"/>
      <c r="K235" s="130"/>
      <c r="L235" s="132"/>
    </row>
    <row r="236" spans="2:13" outlineLevel="1" x14ac:dyDescent="0.25">
      <c r="C236" s="152" t="s">
        <v>43</v>
      </c>
      <c r="D236" s="123"/>
      <c r="E236" s="109"/>
      <c r="F236" s="109"/>
      <c r="G236" s="109"/>
      <c r="H236" s="109"/>
      <c r="I236" s="131"/>
      <c r="J236" s="109"/>
      <c r="K236" s="109"/>
      <c r="L236" s="109"/>
      <c r="M236" s="124"/>
    </row>
    <row r="237" spans="2:13" outlineLevel="1" x14ac:dyDescent="0.25">
      <c r="C237" s="153"/>
      <c r="D237" s="126"/>
      <c r="E237" s="109"/>
      <c r="F237" s="109"/>
      <c r="G237" s="109"/>
      <c r="H237" s="109"/>
      <c r="I237" s="131"/>
      <c r="J237" s="109"/>
      <c r="K237" s="109"/>
      <c r="L237" s="109"/>
      <c r="M237" s="124"/>
    </row>
    <row r="238" spans="2:13" outlineLevel="1" x14ac:dyDescent="0.25">
      <c r="C238" s="153"/>
      <c r="D238" s="126"/>
      <c r="E238" s="109"/>
      <c r="F238" s="109"/>
      <c r="G238" s="109"/>
      <c r="H238" s="109"/>
      <c r="I238" s="131"/>
      <c r="J238" s="109"/>
      <c r="K238" s="109"/>
      <c r="L238" s="109"/>
      <c r="M238" s="124"/>
    </row>
    <row r="239" spans="2:13" outlineLevel="1" x14ac:dyDescent="0.25">
      <c r="C239" s="153"/>
      <c r="D239" s="126"/>
      <c r="E239" s="109"/>
      <c r="F239" s="109"/>
      <c r="G239" s="109"/>
      <c r="H239" s="109"/>
      <c r="I239" s="131"/>
      <c r="J239" s="109"/>
      <c r="K239" s="109"/>
      <c r="L239" s="109"/>
      <c r="M239" s="124"/>
    </row>
    <row r="240" spans="2:13" outlineLevel="1" x14ac:dyDescent="0.25">
      <c r="C240" s="153"/>
      <c r="D240" s="127"/>
      <c r="E240" s="131"/>
      <c r="F240" s="131"/>
      <c r="G240" s="131"/>
      <c r="H240" s="131"/>
      <c r="I240" s="131"/>
      <c r="J240" s="131"/>
      <c r="K240" s="131"/>
      <c r="L240" s="131"/>
      <c r="M240" s="125"/>
    </row>
    <row r="241" spans="3:13" outlineLevel="1" x14ac:dyDescent="0.25">
      <c r="C241" s="153"/>
      <c r="D241" s="126"/>
      <c r="E241" s="109"/>
      <c r="F241" s="109"/>
      <c r="G241" s="109"/>
      <c r="H241" s="109"/>
      <c r="I241" s="131"/>
      <c r="J241" s="109"/>
      <c r="K241" s="109"/>
      <c r="L241" s="109"/>
      <c r="M241" s="124"/>
    </row>
    <row r="242" spans="3:13" outlineLevel="1" x14ac:dyDescent="0.25">
      <c r="C242" s="153"/>
      <c r="D242" s="126"/>
      <c r="E242" s="109"/>
      <c r="F242" s="109"/>
      <c r="G242" s="109"/>
      <c r="H242" s="109"/>
      <c r="I242" s="131"/>
      <c r="J242" s="109"/>
      <c r="K242" s="109"/>
      <c r="L242" s="109"/>
      <c r="M242" s="124"/>
    </row>
    <row r="243" spans="3:13" outlineLevel="1" x14ac:dyDescent="0.25">
      <c r="C243" s="153"/>
      <c r="D243" s="126"/>
      <c r="E243" s="109"/>
      <c r="F243" s="109"/>
      <c r="G243" s="109"/>
      <c r="H243" s="109"/>
      <c r="I243" s="131"/>
      <c r="J243" s="109"/>
      <c r="K243" s="109"/>
      <c r="L243" s="109"/>
      <c r="M243" s="124"/>
    </row>
    <row r="244" spans="3:13" outlineLevel="1" x14ac:dyDescent="0.25">
      <c r="C244" s="154"/>
      <c r="D244" s="128"/>
      <c r="E244" s="109"/>
      <c r="F244" s="109"/>
      <c r="G244" s="109"/>
      <c r="H244" s="109"/>
      <c r="I244" s="131"/>
      <c r="J244" s="109"/>
      <c r="K244" s="109"/>
      <c r="L244" s="109"/>
      <c r="M244" s="124"/>
    </row>
    <row r="245" spans="3:13" outlineLevel="1" x14ac:dyDescent="0.25"/>
    <row r="246" spans="3:13" outlineLevel="1" x14ac:dyDescent="0.25">
      <c r="C246" s="116"/>
      <c r="D246" s="117"/>
      <c r="E246" s="118" t="str">
        <f>TEXT($L$36,"YYYY")&amp;" Exit EV / EBITDA Multiple:"</f>
        <v>2020 Exit EV / EBITDA Multiple:</v>
      </c>
      <c r="F246" s="119"/>
      <c r="G246" s="119"/>
      <c r="H246" s="119"/>
      <c r="I246" s="119"/>
      <c r="J246" s="119"/>
      <c r="K246" s="119"/>
      <c r="L246" s="120"/>
    </row>
    <row r="247" spans="3:13" outlineLevel="1" x14ac:dyDescent="0.25">
      <c r="C247" s="121"/>
      <c r="D247" s="122"/>
      <c r="E247" s="130"/>
      <c r="F247" s="130"/>
      <c r="G247" s="130"/>
      <c r="H247" s="130"/>
      <c r="I247" s="133"/>
      <c r="J247" s="130"/>
      <c r="K247" s="130"/>
      <c r="L247" s="132"/>
    </row>
    <row r="248" spans="3:13" outlineLevel="1" x14ac:dyDescent="0.25">
      <c r="C248" s="152" t="s">
        <v>151</v>
      </c>
      <c r="D248" s="134"/>
      <c r="E248" s="109"/>
      <c r="F248" s="109"/>
      <c r="G248" s="109"/>
      <c r="H248" s="109"/>
      <c r="I248" s="131"/>
      <c r="J248" s="109"/>
      <c r="K248" s="109"/>
      <c r="L248" s="109"/>
    </row>
    <row r="249" spans="3:13" outlineLevel="1" x14ac:dyDescent="0.25">
      <c r="C249" s="153"/>
      <c r="D249" s="135"/>
      <c r="E249" s="109"/>
      <c r="F249" s="109"/>
      <c r="G249" s="109"/>
      <c r="H249" s="109"/>
      <c r="I249" s="131"/>
      <c r="J249" s="109"/>
      <c r="K249" s="109"/>
      <c r="L249" s="109"/>
    </row>
    <row r="250" spans="3:13" outlineLevel="1" x14ac:dyDescent="0.25">
      <c r="C250" s="153"/>
      <c r="D250" s="135"/>
      <c r="E250" s="109"/>
      <c r="F250" s="109"/>
      <c r="G250" s="109"/>
      <c r="H250" s="109"/>
      <c r="I250" s="131"/>
      <c r="J250" s="109"/>
      <c r="K250" s="109"/>
      <c r="L250" s="109"/>
    </row>
    <row r="251" spans="3:13" outlineLevel="1" x14ac:dyDescent="0.25">
      <c r="C251" s="153"/>
      <c r="D251" s="135"/>
      <c r="E251" s="109"/>
      <c r="F251" s="109"/>
      <c r="G251" s="109"/>
      <c r="H251" s="109"/>
      <c r="I251" s="131"/>
      <c r="J251" s="109"/>
      <c r="K251" s="109"/>
      <c r="L251" s="109"/>
    </row>
    <row r="252" spans="3:13" outlineLevel="1" x14ac:dyDescent="0.25">
      <c r="C252" s="153"/>
      <c r="D252" s="136"/>
      <c r="E252" s="131"/>
      <c r="F252" s="131"/>
      <c r="G252" s="131"/>
      <c r="H252" s="131"/>
      <c r="I252" s="131"/>
      <c r="J252" s="131"/>
      <c r="K252" s="131"/>
      <c r="L252" s="131"/>
    </row>
    <row r="253" spans="3:13" outlineLevel="1" x14ac:dyDescent="0.25">
      <c r="C253" s="153"/>
      <c r="D253" s="135"/>
      <c r="E253" s="109"/>
      <c r="F253" s="109"/>
      <c r="G253" s="109"/>
      <c r="H253" s="109"/>
      <c r="I253" s="131"/>
      <c r="J253" s="109"/>
      <c r="K253" s="109"/>
      <c r="L253" s="109"/>
    </row>
    <row r="254" spans="3:13" outlineLevel="1" x14ac:dyDescent="0.25">
      <c r="C254" s="153"/>
      <c r="D254" s="135"/>
      <c r="E254" s="109"/>
      <c r="F254" s="109"/>
      <c r="G254" s="109"/>
      <c r="H254" s="109"/>
      <c r="I254" s="131"/>
      <c r="J254" s="109"/>
      <c r="K254" s="109"/>
      <c r="L254" s="109"/>
    </row>
    <row r="255" spans="3:13" outlineLevel="1" x14ac:dyDescent="0.25">
      <c r="C255" s="153"/>
      <c r="D255" s="135"/>
      <c r="E255" s="109"/>
      <c r="F255" s="109"/>
      <c r="G255" s="109"/>
      <c r="H255" s="109"/>
      <c r="I255" s="131"/>
      <c r="J255" s="109"/>
      <c r="K255" s="109"/>
      <c r="L255" s="109"/>
    </row>
    <row r="256" spans="3:13" outlineLevel="1" x14ac:dyDescent="0.25">
      <c r="C256" s="154"/>
      <c r="D256" s="137"/>
      <c r="E256" s="109"/>
      <c r="F256" s="109"/>
      <c r="G256" s="109"/>
      <c r="H256" s="109"/>
      <c r="I256" s="131"/>
      <c r="J256" s="109"/>
      <c r="K256" s="109"/>
      <c r="L256" s="109"/>
    </row>
    <row r="258" spans="2:13" x14ac:dyDescent="0.25">
      <c r="B258" s="45"/>
      <c r="C258" s="46"/>
      <c r="D258" s="47"/>
      <c r="E258" s="24" t="str">
        <f>$E$71</f>
        <v>Historical</v>
      </c>
      <c r="F258" s="25"/>
      <c r="G258" s="25"/>
      <c r="H258" s="26" t="str">
        <f>$H$71</f>
        <v>Projected</v>
      </c>
      <c r="I258" s="27"/>
      <c r="J258" s="25"/>
      <c r="K258" s="25"/>
      <c r="L258" s="25"/>
    </row>
    <row r="259" spans="2:13" x14ac:dyDescent="0.25">
      <c r="B259" s="5" t="s">
        <v>158</v>
      </c>
      <c r="C259" s="6"/>
      <c r="D259" s="82" t="str">
        <f>+$D$36</f>
        <v>Units:</v>
      </c>
      <c r="E259" s="1">
        <f>$E$72</f>
        <v>41639</v>
      </c>
      <c r="F259" s="1">
        <f>$F$72</f>
        <v>42004</v>
      </c>
      <c r="G259" s="2">
        <f>$G$72</f>
        <v>42369</v>
      </c>
      <c r="H259" s="150">
        <f>$H$72</f>
        <v>42735</v>
      </c>
      <c r="I259" s="1">
        <f>$I$72</f>
        <v>43100</v>
      </c>
      <c r="J259" s="1">
        <f>$J$72</f>
        <v>43465</v>
      </c>
      <c r="K259" s="1">
        <f>$K$72</f>
        <v>43830</v>
      </c>
      <c r="L259" s="1">
        <f>$L$72</f>
        <v>44196</v>
      </c>
    </row>
    <row r="260" spans="2:13" outlineLevel="1" x14ac:dyDescent="0.25"/>
    <row r="261" spans="2:13" outlineLevel="1" x14ac:dyDescent="0.25">
      <c r="C261" s="12" t="s">
        <v>163</v>
      </c>
      <c r="D261" s="13"/>
      <c r="E261" s="13"/>
      <c r="F261" s="13"/>
      <c r="G261" s="13"/>
      <c r="H261" s="13"/>
      <c r="I261" s="13"/>
      <c r="J261" s="13"/>
      <c r="K261" s="13"/>
      <c r="L261" s="13"/>
    </row>
    <row r="262" spans="2:13" outlineLevel="1" x14ac:dyDescent="0.25">
      <c r="C262" s="141" t="s">
        <v>159</v>
      </c>
      <c r="D262" s="101" t="s">
        <v>38</v>
      </c>
      <c r="H262" s="36"/>
      <c r="I262" s="36"/>
      <c r="J262" s="36"/>
      <c r="K262" s="36"/>
      <c r="L262" s="36"/>
    </row>
    <row r="263" spans="2:13" outlineLevel="1" x14ac:dyDescent="0.25">
      <c r="C263" s="141" t="s">
        <v>160</v>
      </c>
      <c r="D263" s="101" t="s">
        <v>38</v>
      </c>
      <c r="H263" s="36"/>
      <c r="I263" s="36"/>
      <c r="J263" s="36"/>
      <c r="K263" s="36"/>
      <c r="L263" s="36"/>
      <c r="M263" s="36"/>
    </row>
    <row r="264" spans="2:13" outlineLevel="1" x14ac:dyDescent="0.25">
      <c r="C264" s="142" t="s">
        <v>161</v>
      </c>
      <c r="D264" s="102" t="s">
        <v>38</v>
      </c>
      <c r="E264" s="39"/>
      <c r="F264" s="39"/>
      <c r="G264" s="39"/>
      <c r="H264" s="36"/>
      <c r="I264" s="36"/>
      <c r="J264" s="36"/>
      <c r="K264" s="36"/>
      <c r="L264" s="36"/>
    </row>
    <row r="265" spans="2:13" outlineLevel="1" x14ac:dyDescent="0.25">
      <c r="C265" s="143" t="s">
        <v>162</v>
      </c>
      <c r="D265" s="101" t="s">
        <v>38</v>
      </c>
      <c r="H265" s="66"/>
      <c r="I265" s="66"/>
      <c r="J265" s="66"/>
      <c r="K265" s="66"/>
      <c r="L265" s="66"/>
    </row>
    <row r="266" spans="2:13" outlineLevel="1" x14ac:dyDescent="0.25"/>
    <row r="267" spans="2:13" outlineLevel="1" x14ac:dyDescent="0.25">
      <c r="C267" s="12" t="s">
        <v>164</v>
      </c>
      <c r="D267" s="13"/>
      <c r="E267" s="13"/>
      <c r="F267" s="13"/>
      <c r="G267" s="13"/>
      <c r="H267" s="13"/>
      <c r="I267" s="13"/>
      <c r="J267" s="13"/>
      <c r="K267" s="13"/>
      <c r="L267" s="13"/>
    </row>
    <row r="268" spans="2:13" outlineLevel="1" x14ac:dyDescent="0.25">
      <c r="C268" s="141" t="str">
        <f>+$C$262</f>
        <v>EBITDA Growth:</v>
      </c>
      <c r="D268" s="110" t="s">
        <v>82</v>
      </c>
      <c r="H268" s="145"/>
      <c r="I268" s="145"/>
      <c r="J268" s="145"/>
      <c r="K268" s="145"/>
      <c r="L268" s="145"/>
    </row>
    <row r="269" spans="2:13" outlineLevel="1" x14ac:dyDescent="0.25">
      <c r="C269" s="141" t="str">
        <f>+$C$263</f>
        <v>Multiple Expansion:</v>
      </c>
      <c r="D269" s="110" t="s">
        <v>82</v>
      </c>
      <c r="H269" s="145"/>
      <c r="I269" s="145"/>
      <c r="J269" s="145"/>
      <c r="K269" s="145"/>
      <c r="L269" s="145"/>
    </row>
    <row r="270" spans="2:13" outlineLevel="1" x14ac:dyDescent="0.25">
      <c r="C270" s="142" t="str">
        <f>+$C$264</f>
        <v>Debt Paydown and Cash Generation:</v>
      </c>
      <c r="D270" s="102" t="s">
        <v>82</v>
      </c>
      <c r="E270" s="39"/>
      <c r="F270" s="39"/>
      <c r="G270" s="39"/>
      <c r="H270" s="146"/>
      <c r="I270" s="146"/>
      <c r="J270" s="146"/>
      <c r="K270" s="146"/>
      <c r="L270" s="146"/>
    </row>
    <row r="271" spans="2:13" outlineLevel="1" x14ac:dyDescent="0.25">
      <c r="C271" s="143" t="str">
        <f>+$C$265</f>
        <v>Total Equity Return:</v>
      </c>
      <c r="D271" s="110" t="s">
        <v>82</v>
      </c>
      <c r="H271" s="147"/>
      <c r="I271" s="147"/>
      <c r="J271" s="147"/>
      <c r="K271" s="147"/>
      <c r="L271" s="147"/>
    </row>
    <row r="272" spans="2:13" outlineLevel="1" x14ac:dyDescent="0.25"/>
    <row r="273" spans="3:13" outlineLevel="1" x14ac:dyDescent="0.25">
      <c r="C273" s="12" t="s">
        <v>165</v>
      </c>
      <c r="D273" s="13"/>
      <c r="E273" s="13"/>
      <c r="F273" s="13"/>
      <c r="G273" s="13"/>
      <c r="H273" s="13"/>
      <c r="I273" s="13"/>
      <c r="J273" s="13"/>
      <c r="K273" s="13"/>
      <c r="L273" s="13"/>
    </row>
    <row r="274" spans="3:13" outlineLevel="1" x14ac:dyDescent="0.25">
      <c r="C274" s="141" t="s">
        <v>166</v>
      </c>
      <c r="D274" s="101" t="s">
        <v>38</v>
      </c>
      <c r="H274" s="36"/>
      <c r="I274" s="36"/>
      <c r="J274" s="36"/>
      <c r="K274" s="36"/>
      <c r="L274" s="36"/>
    </row>
    <row r="275" spans="3:13" outlineLevel="1" x14ac:dyDescent="0.25">
      <c r="C275" s="142" t="s">
        <v>167</v>
      </c>
      <c r="D275" s="102" t="s">
        <v>38</v>
      </c>
      <c r="E275" s="39"/>
      <c r="F275" s="39"/>
      <c r="G275" s="39"/>
      <c r="H275" s="36"/>
      <c r="I275" s="36"/>
      <c r="J275" s="36"/>
      <c r="K275" s="36"/>
      <c r="L275" s="36"/>
    </row>
    <row r="276" spans="3:13" outlineLevel="1" x14ac:dyDescent="0.25">
      <c r="C276" s="143" t="s">
        <v>168</v>
      </c>
      <c r="D276" s="101" t="s">
        <v>38</v>
      </c>
      <c r="H276" s="66"/>
      <c r="I276" s="66"/>
      <c r="J276" s="66"/>
      <c r="K276" s="66"/>
      <c r="L276" s="66"/>
    </row>
    <row r="277" spans="3:13" outlineLevel="1" x14ac:dyDescent="0.25">
      <c r="H277" s="16"/>
      <c r="I277" s="16"/>
      <c r="J277" s="16"/>
      <c r="K277" s="16"/>
      <c r="L277" s="16"/>
      <c r="M277" s="16"/>
    </row>
    <row r="278" spans="3:13" outlineLevel="1" x14ac:dyDescent="0.25">
      <c r="C278" s="12" t="s">
        <v>169</v>
      </c>
      <c r="D278" s="13"/>
      <c r="E278" s="13"/>
      <c r="F278" s="13"/>
      <c r="G278" s="13"/>
      <c r="H278" s="13"/>
      <c r="I278" s="13"/>
      <c r="J278" s="13"/>
      <c r="K278" s="13"/>
      <c r="L278" s="13"/>
    </row>
    <row r="279" spans="3:13" outlineLevel="1" x14ac:dyDescent="0.25">
      <c r="C279" s="141" t="str">
        <f>+$C$274</f>
        <v>Sales Growth:</v>
      </c>
      <c r="D279" s="110" t="s">
        <v>82</v>
      </c>
      <c r="H279" s="145"/>
      <c r="I279" s="145"/>
      <c r="J279" s="145"/>
      <c r="K279" s="145"/>
      <c r="L279" s="145"/>
    </row>
    <row r="280" spans="3:13" outlineLevel="1" x14ac:dyDescent="0.25">
      <c r="C280" s="142" t="str">
        <f>+$C$275</f>
        <v>Margin Expansion:</v>
      </c>
      <c r="D280" s="102" t="s">
        <v>82</v>
      </c>
      <c r="E280" s="39"/>
      <c r="F280" s="39"/>
      <c r="G280" s="39"/>
      <c r="H280" s="146"/>
      <c r="I280" s="146"/>
      <c r="J280" s="146"/>
      <c r="K280" s="146"/>
      <c r="L280" s="146"/>
    </row>
    <row r="281" spans="3:13" outlineLevel="1" x14ac:dyDescent="0.25">
      <c r="C281" s="143" t="str">
        <f>+$C$276</f>
        <v>Total EBITDA Growth:</v>
      </c>
      <c r="D281" s="110" t="s">
        <v>82</v>
      </c>
      <c r="H281" s="147"/>
      <c r="I281" s="147"/>
      <c r="J281" s="147"/>
      <c r="K281" s="147"/>
      <c r="L281" s="147"/>
    </row>
  </sheetData>
  <mergeCells count="2">
    <mergeCell ref="C236:C244"/>
    <mergeCell ref="C248:C256"/>
  </mergeCells>
  <pageMargins left="0.7" right="0.7" top="0.75" bottom="0.75" header="0.3" footer="0.3"/>
  <pageSetup scale="47" orientation="portrait" horizontalDpi="1200" verticalDpi="1200" r:id="rId1"/>
  <rowBreaks count="5" manualBreakCount="5">
    <brk id="34" max="12" man="1"/>
    <brk id="70" max="12" man="1"/>
    <brk id="113" max="12" man="1"/>
    <brk id="170" max="12" man="1"/>
    <brk id="2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LBO-90-Minutes</vt:lpstr>
      <vt:lpstr>Company_Name</vt:lpstr>
      <vt:lpstr>EBITDA_Toggle</vt:lpstr>
      <vt:lpstr>Hist_Year</vt:lpstr>
      <vt:lpstr>LTM_EBITDA</vt:lpstr>
      <vt:lpstr>Mgmt_Equity</vt:lpstr>
      <vt:lpstr>Mgmt_Pct</vt:lpstr>
      <vt:lpstr>Min_Cash_Pct</vt:lpstr>
      <vt:lpstr>'LBO-90-Minutes'!Print_Area</vt:lpstr>
      <vt:lpstr>Purchase_Multiple</vt:lpstr>
      <vt:lpstr>Sponsor_Equity</vt:lpstr>
      <vt:lpstr>Sponsor_Pct</vt:lpstr>
      <vt:lpstr>Tax_Rate</vt:lpstr>
      <vt:lpstr>Total_Equity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 M.</dc:creator>
  <cp:lastModifiedBy>BIWS</cp:lastModifiedBy>
  <dcterms:created xsi:type="dcterms:W3CDTF">2016-10-28T03:10:17Z</dcterms:created>
  <dcterms:modified xsi:type="dcterms:W3CDTF">2017-01-06T19:15:39Z</dcterms:modified>
</cp:coreProperties>
</file>