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810" activeTab="0"/>
  </bookViews>
  <sheets>
    <sheet name="Instructions" sheetId="1" r:id="rId1"/>
    <sheet name="Case-Study-Part-2-Completed" sheetId="2" r:id="rId2"/>
  </sheets>
  <externalReferences>
    <externalReference r:id="rId5"/>
  </externalReferences>
  <definedNames>
    <definedName name="_GoBack" localSheetId="0">'Instructions'!$A$1</definedName>
    <definedName name="_xlfn.IFERROR" hidden="1">#NAME?</definedName>
    <definedName name="Advisory_Fee">'Case-Study-Part-2-Completed'!$O$9</definedName>
    <definedName name="Company_Name" localSheetId="0">'[1]Case-Study-Part-2-Blank'!$E$7</definedName>
    <definedName name="Company_Name">'Case-Study-Part-2-Completed'!$E$7</definedName>
    <definedName name="Debt_Used">'Case-Study-Part-2-Completed'!$J$11</definedName>
    <definedName name="Equity_Purchase_Price">'Case-Study-Part-2-Completed'!$J$8</definedName>
    <definedName name="Financing_Fee">'Case-Study-Part-2-Completed'!$O$10</definedName>
    <definedName name="Hist_Year" localSheetId="0">'[1]Case-Study-Part-2-Blank'!$J$7</definedName>
    <definedName name="Hist_Year">'Case-Study-Part-2-Completed'!$J$7</definedName>
    <definedName name="Intangibles_Writeup">'Case-Study-Part-2-Completed'!$L$56</definedName>
    <definedName name="LIBOR_Units" localSheetId="0">'[1]Case-Study-Part-2-Blank'!$O$13</definedName>
    <definedName name="LIBOR_Units">'Case-Study-Part-2-Completed'!$O$13</definedName>
    <definedName name="Min_Cash">'Case-Study-Part-2-Completed'!$O$14</definedName>
    <definedName name="Offer_Price" localSheetId="0">'[1]Case-Study-Part-2-Blank'!$E$10</definedName>
    <definedName name="Offer_Price">'Case-Study-Part-2-Completed'!$E$10</definedName>
    <definedName name="OLE_LINK1" localSheetId="0">'Instructions'!$A$13</definedName>
    <definedName name="PPE_Writeup">'Case-Study-Part-2-Completed'!$L$50</definedName>
    <definedName name="PPE_Writeup_Period">'Case-Study-Part-2-Completed'!$L$51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<sst xmlns="http://schemas.openxmlformats.org/spreadsheetml/2006/main" count="226" uniqueCount="208">
  <si>
    <t>Gross Profit:</t>
  </si>
  <si>
    <t>Operating Income:</t>
  </si>
  <si>
    <t>Pre-Tax Income:</t>
  </si>
  <si>
    <t>Income Tax Provision:</t>
  </si>
  <si>
    <t>Current Assets:</t>
  </si>
  <si>
    <t>Total Current Assets:</t>
  </si>
  <si>
    <t>Goodwill:</t>
  </si>
  <si>
    <t>Total Assets:</t>
  </si>
  <si>
    <t>Net Income:</t>
  </si>
  <si>
    <t>Cash &amp; Cash-Equivalents:</t>
  </si>
  <si>
    <t>Total Liabilities &amp; SE:</t>
  </si>
  <si>
    <t>Income Statement</t>
  </si>
  <si>
    <t>Balance Sheet</t>
  </si>
  <si>
    <t>Other Assets:</t>
  </si>
  <si>
    <t>Long-Term Assets:</t>
  </si>
  <si>
    <t>Assets:</t>
  </si>
  <si>
    <t>Liabilities &amp; Shareholders' Equity:</t>
  </si>
  <si>
    <t>Current Liabilities:</t>
  </si>
  <si>
    <t>Accounts Payable:</t>
  </si>
  <si>
    <t>Total Current Liabilities:</t>
  </si>
  <si>
    <t>Long-Term Liabilities:</t>
  </si>
  <si>
    <t>Other Long-Term Liabilities:</t>
  </si>
  <si>
    <t>Total Liabilities:</t>
  </si>
  <si>
    <t>Shareholders' Equity:</t>
  </si>
  <si>
    <t>Treasury Stock:</t>
  </si>
  <si>
    <t>Retained Earnings:</t>
  </si>
  <si>
    <t>Total Shareholders' Equity:</t>
  </si>
  <si>
    <t>Cash Flow Statement</t>
  </si>
  <si>
    <t>Changes in Operating Assets &amp; Liabilities:</t>
  </si>
  <si>
    <t>Other Liabilities:</t>
  </si>
  <si>
    <t>Cash Flow from Operations:</t>
  </si>
  <si>
    <t>Capital Expenditures:</t>
  </si>
  <si>
    <t>Cash Flow from Investing:</t>
  </si>
  <si>
    <t>Operating Assumptions</t>
  </si>
  <si>
    <t>Company Name:</t>
  </si>
  <si>
    <t>COGS % Revenue:</t>
  </si>
  <si>
    <t>Revenue:</t>
  </si>
  <si>
    <t>Cost of Goods Sold:</t>
  </si>
  <si>
    <t>SG&amp;A % Revenue:</t>
  </si>
  <si>
    <t>Historical</t>
  </si>
  <si>
    <t>Inventory % COGS:</t>
  </si>
  <si>
    <t>Accounts Payable % COGS:</t>
  </si>
  <si>
    <t>CapEx % Revenue:</t>
  </si>
  <si>
    <t>Effective Tax Rate:</t>
  </si>
  <si>
    <t>BALANCE CHECK:</t>
  </si>
  <si>
    <t>Revenue Growth %:</t>
  </si>
  <si>
    <t>EBITDA:</t>
  </si>
  <si>
    <t>Diluted Equity Value:</t>
  </si>
  <si>
    <t>Plus: Debt</t>
  </si>
  <si>
    <t>Plus: Preferred Stock</t>
  </si>
  <si>
    <t>Enterprise Value:</t>
  </si>
  <si>
    <t>Number</t>
  </si>
  <si>
    <t>Exercise</t>
  </si>
  <si>
    <t>Price</t>
  </si>
  <si>
    <t>Dilution</t>
  </si>
  <si>
    <t>Name</t>
  </si>
  <si>
    <t>Tranche A</t>
  </si>
  <si>
    <t>Tranche B</t>
  </si>
  <si>
    <t>Tranche C</t>
  </si>
  <si>
    <t>Total</t>
  </si>
  <si>
    <t>Tranche D</t>
  </si>
  <si>
    <t>Plus: Other Liabilities</t>
  </si>
  <si>
    <t>Less: Cash &amp; Investments</t>
  </si>
  <si>
    <t>Projected</t>
  </si>
  <si>
    <t>Interest</t>
  </si>
  <si>
    <t>Transaction Assumptions</t>
  </si>
  <si>
    <t>Equity Purchase Price:</t>
  </si>
  <si>
    <t>Offer Price Per Share:</t>
  </si>
  <si>
    <t>Current Share Price:</t>
  </si>
  <si>
    <t>Interest Income / (Expense):</t>
  </si>
  <si>
    <t>Goodwill Creation &amp; Balance Sheet Adjustments</t>
  </si>
  <si>
    <t>Goodwill Calculation:</t>
  </si>
  <si>
    <t>Less: Seller Book Value:</t>
  </si>
  <si>
    <t>Plus: Write-Off of Existing Goodwill:</t>
  </si>
  <si>
    <t>Total Allocable Purchase Premium:</t>
  </si>
  <si>
    <t>Less: Write-Up of PP&amp;E:</t>
  </si>
  <si>
    <t>Less: Write-Up of Intangibles:</t>
  </si>
  <si>
    <t>Less: Write-Down of DTL:</t>
  </si>
  <si>
    <t>Plus: New Deferred Tax Liability:</t>
  </si>
  <si>
    <t>Total Goodwill Created:</t>
  </si>
  <si>
    <t>Fixed Asset Write-Up:</t>
  </si>
  <si>
    <t>PP&amp;E Write-Up %:</t>
  </si>
  <si>
    <t>PP&amp;E Write-Up Amount:</t>
  </si>
  <si>
    <t>Depreciation Period (Years):</t>
  </si>
  <si>
    <t>Intangible Asset Write-Up:</t>
  </si>
  <si>
    <t>Purchase Price to Allocate:</t>
  </si>
  <si>
    <t>% Allocated to Intangibles:</t>
  </si>
  <si>
    <t>Intangibles Write-Up Amount:</t>
  </si>
  <si>
    <t>Amortization Period (Years):</t>
  </si>
  <si>
    <t>New Deferred Tax Liability:</t>
  </si>
  <si>
    <t>Offer Premium:</t>
  </si>
  <si>
    <t>Purchase Price Calculations:</t>
  </si>
  <si>
    <t>EBITDA Purchase Multiple:</t>
  </si>
  <si>
    <t>Advisory Fee %:</t>
  </si>
  <si>
    <t>Financing Fee %:</t>
  </si>
  <si>
    <t>Debt Assumptions</t>
  </si>
  <si>
    <t>Sources &amp; Uses</t>
  </si>
  <si>
    <t>Sources:</t>
  </si>
  <si>
    <t>Investor Equity:</t>
  </si>
  <si>
    <t>Total Sources:</t>
  </si>
  <si>
    <t>Uses:</t>
  </si>
  <si>
    <t>Equity Value of Company:</t>
  </si>
  <si>
    <t>Advisory Fees:</t>
  </si>
  <si>
    <t>Total Uses:</t>
  </si>
  <si>
    <t>Minimum Cash Balance:</t>
  </si>
  <si>
    <t>Beginning Cash Balance:</t>
  </si>
  <si>
    <t>Less: Minimum Cash Balance:</t>
  </si>
  <si>
    <t>Ending Cash Balance:</t>
  </si>
  <si>
    <t>Debt &amp; Interest Schedules</t>
  </si>
  <si>
    <t>Net Interest Income / (Expense):</t>
  </si>
  <si>
    <t>Investor Returns</t>
  </si>
  <si>
    <t>EBITDA Multiple:</t>
  </si>
  <si>
    <t>IRR:</t>
  </si>
  <si>
    <t>Sensitivity Analysis - 5-Year IRR and Purchase Premium vs. Exit Multiple</t>
  </si>
  <si>
    <t>Purchase Premium / Per-Share Price</t>
  </si>
  <si>
    <t>Exit Multiple:</t>
  </si>
  <si>
    <t>Revolver:</t>
  </si>
  <si>
    <t>Term Loan A:</t>
  </si>
  <si>
    <t>Term Loan B:</t>
  </si>
  <si>
    <t>Capitalized Financing Fees:</t>
  </si>
  <si>
    <t>Transaction Adjustments</t>
  </si>
  <si>
    <t>Debit</t>
  </si>
  <si>
    <t>Credit</t>
  </si>
  <si>
    <t>Depreciation of PP&amp;E Write-Up:</t>
  </si>
  <si>
    <t>New Intangibles Amortization:</t>
  </si>
  <si>
    <t>Amortization of Financing Fees:</t>
  </si>
  <si>
    <t>Existing Long-Term Debt:</t>
  </si>
  <si>
    <t>Sponsor Common Equity:</t>
  </si>
  <si>
    <t>Cash Flow Available for Debt Repayment:</t>
  </si>
  <si>
    <t>Total Cash Flow Used to Repay Debt:</t>
  </si>
  <si>
    <t>Net Change in Cash &amp; Cash Equivalents:</t>
  </si>
  <si>
    <t>Legal &amp; Misc. Fees:</t>
  </si>
  <si>
    <t>Interest Rates:</t>
  </si>
  <si>
    <t>Principal Repayment %:</t>
  </si>
  <si>
    <t>Subordinated Note:</t>
  </si>
  <si>
    <t>N/A</t>
  </si>
  <si>
    <t>Financing Fees Amortization Period:</t>
  </si>
  <si>
    <t>LIBOR Curve:</t>
  </si>
  <si>
    <t>Fixed</t>
  </si>
  <si>
    <t>Interest Rate Assumptions:</t>
  </si>
  <si>
    <t xml:space="preserve">LIBOR + </t>
  </si>
  <si>
    <t>Interest Income / (Expense) Calculations:</t>
  </si>
  <si>
    <t>Cash:</t>
  </si>
  <si>
    <t>Sources of Funds:</t>
  </si>
  <si>
    <t>Subtotal Before Revolver:</t>
  </si>
  <si>
    <t>Revolver Borrowing Required:</t>
  </si>
  <si>
    <t>Total Sources of Funds:</t>
  </si>
  <si>
    <t>Uses of Funds:</t>
  </si>
  <si>
    <t>Mandatory Debt Repayment:</t>
  </si>
  <si>
    <t>Mandatory Repayment Total:</t>
  </si>
  <si>
    <t>Optional Debt Repayment:</t>
  </si>
  <si>
    <t>Optional Repayment Total:</t>
  </si>
  <si>
    <t>Cash Generated on Balance Sheet:</t>
  </si>
  <si>
    <t>Total Uses of Funds:</t>
  </si>
  <si>
    <t>Sensitivity Analysis - 5-Year IRR and Purchase Premium vs. Leverage Ratio:</t>
  </si>
  <si>
    <t>J.Crew Group, Inc.</t>
  </si>
  <si>
    <t>($ in Millions Except Per Share Data)</t>
  </si>
  <si>
    <t>Transaction Enterprise Value:</t>
  </si>
  <si>
    <t>Transaction Close Date:</t>
  </si>
  <si>
    <t>Depreciation &amp; Amortization:</t>
  </si>
  <si>
    <t>D&amp;A % Revenue:</t>
  </si>
  <si>
    <t>Merchandise Inventories:</t>
  </si>
  <si>
    <t>Prepaid Expenses &amp; Other:</t>
  </si>
  <si>
    <t>Net PP&amp;E:</t>
  </si>
  <si>
    <t>Total Long-Term Assets:</t>
  </si>
  <si>
    <t>Other Current Liabilities:</t>
  </si>
  <si>
    <t>Total Long-Term Liabilities:</t>
  </si>
  <si>
    <t>Long-Term Deferred Tax Liability:</t>
  </si>
  <si>
    <t>Common Stock &amp; APIC:</t>
  </si>
  <si>
    <t>Accounts Payable &amp; Other:</t>
  </si>
  <si>
    <t>Prepaid Expenses &amp; Other % SG&amp;A:</t>
  </si>
  <si>
    <t>Other Liabilities % SG&amp;A:</t>
  </si>
  <si>
    <t>SG&amp;A Expense:</t>
  </si>
  <si>
    <t>Plus: Noncontrolling Interests</t>
  </si>
  <si>
    <t>Common Shares:</t>
  </si>
  <si>
    <t>Diluted Shares:</t>
  </si>
  <si>
    <t>RSUs</t>
  </si>
  <si>
    <t>% Debt Used:</t>
  </si>
  <si>
    <t>Base EBITDA Exit Multiple:</t>
  </si>
  <si>
    <t>LIBOR Units:</t>
  </si>
  <si>
    <t>Repay Existing Debt:</t>
  </si>
  <si>
    <t>Intangible Assets:</t>
  </si>
  <si>
    <t>%:</t>
  </si>
  <si>
    <t>$ Amount:</t>
  </si>
  <si>
    <t>Total Debt Used:</t>
  </si>
  <si>
    <t>Debt Used:</t>
  </si>
  <si>
    <t>Plus: Cash Flow Available for Debt Repay:</t>
  </si>
  <si>
    <t>You have 3 hours to complete the LBO model and then 30 minutes to present your findings to the committee.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</si>
  <si>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What additional information would you need to make an investment decision?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</si>
  <si>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How else could you change the assumptions to get a higher return?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</si>
  <si>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Would the transaction work with more or less debt used, or with a higher EBITDA exit multiple?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</si>
  <si>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How did you determine the EBITDA exit multiple to use? How do you know that it’s accurate?</t>
    </r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</si>
  <si>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Based on the returns, would you invest in J. Crew along with TPG and Leonard Green? Why or why not?</t>
    </r>
  </si>
  <si>
    <t>Once you’ve completed the LBO model, be prepared to discuss the following questions:</t>
  </si>
  <si>
    <t>Discussion Questions</t>
  </si>
  <si>
    <t>The minimum cash balance should be $50 million and you should assume a 5-year buyout period with an exit in FY 2016.</t>
  </si>
  <si>
    <t>Assume that the Revolver is undrawn initially. For LIBOR, please use the LIBOR curve included with the attached Excel file.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</si>
  <si>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Subordinated Notes: $600 million (11% fixed interest, no annual repayment)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</si>
  <si>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Term Loan B: $500 million (L + 500 interest, 5% annual repayment)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</si>
  <si>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Term Loan A: $500 million (L + 350 interest, 10% annual repayment)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</si>
  <si>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Revolver: $250 million (L + 250 interest)</t>
    </r>
  </si>
  <si>
    <t>Assume an offer price of $43.50 per share, just as in the real transaction, and that all diluted shares are acquired. Assume that TPG and Leonard Green use $1.85 billion worth of debt, just as in the real transaction, with the following tranches, interest rates, and principal repayments:</t>
  </si>
  <si>
    <t>Part 2 – Purchase Price &amp; Debt Assumptions</t>
  </si>
  <si>
    <t>In part 2 of this case study, you’ll modify the 3-statement model you created earlier to turn it into an LBO model instead. Please use the following assumptions for this part of the case study:</t>
  </si>
  <si>
    <t>J. Crew is a specialty retailer with over 300 retail stores in the US. It sells higher-end clothing and accessories via its stores and directly via mail order and its website.</t>
  </si>
  <si>
    <t>Announced on November 23, 2010, the deal represented a rebound in the LBO and debt markets and was one of the larger deals since the start of the credit crunch in mid-2007.</t>
  </si>
  <si>
    <t>In this case study, you’ll analyze the recent $3.0 billion buyout of J. Crew by TPG and Leonard Green.</t>
  </si>
  <si>
    <t>Private Equity Interview Case Study – Part 2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</si>
</sst>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0_);[Red]\(&quot;$&quot;#,##0.0000\)"/>
    <numFmt numFmtId="167" formatCode="&quot;$&quot;#,##0.00"/>
    <numFmt numFmtId="168" formatCode="0.0%;[Red]\(0.0%\)"/>
    <numFmt numFmtId="169" formatCode="&quot;$&quot;#,##0.000_);[Red]\(&quot;$&quot;#,##0.000\)"/>
    <numFmt numFmtId="170" formatCode="&quot;$&quot;#,##0.000"/>
    <numFmt numFmtId="171" formatCode="0.0;[Red]\(0.0\)"/>
    <numFmt numFmtId="172" formatCode="&quot;$&quot;#,##0.0_);[Red]\(&quot;$&quot;#,##0.0\)"/>
    <numFmt numFmtId="173" formatCode="&quot;$&quot;#,##0_);\(&quot;$&quot;#,##0\);&quot;OK!&quot;;&quot;ERROR&quot;"/>
    <numFmt numFmtId="174" formatCode="&quot;$&quot;#,##0.0"/>
    <numFmt numFmtId="175" formatCode="&quot;$&quot;#,##0.0_);\(&quot;$&quot;#,##0.0\)"/>
    <numFmt numFmtId="176" formatCode="&quot;$&quot;#,##0.0000"/>
    <numFmt numFmtId="177" formatCode="&quot;$&quot;#,##0.000_);\(&quot;$&quot;#,##0.000\)"/>
    <numFmt numFmtId="178" formatCode="[$-409]dddd\,\ mmmm\ dd\,\ yyyy"/>
    <numFmt numFmtId="179" formatCode="0.0\ \x;[Red]\ 0.0\ \x"/>
    <numFmt numFmtId="180" formatCode="0.0"/>
    <numFmt numFmtId="181" formatCode="#,##0.0"/>
    <numFmt numFmtId="182" formatCode="#,##0.000"/>
    <numFmt numFmtId="183" formatCode="&quot;$&quot;#,##0.00000_);[Red]\(&quot;$&quot;#,##0.00000\)"/>
    <numFmt numFmtId="184" formatCode="_(&quot;$&quot;* #,##0.0_);_(&quot;$&quot;* \(#,##0.0\);_(&quot;$&quot;* &quot;-&quot;?_);_(@_)"/>
    <numFmt numFmtId="185" formatCode="_(* #,##0.0_);_(* \(#,##0.0\);_(* &quot;-&quot;?_);_(@_)"/>
    <numFmt numFmtId="186" formatCode="0.0\ \x"/>
    <numFmt numFmtId="187" formatCode="#,##0.00000"/>
    <numFmt numFmtId="188" formatCode="[$¥-411]#,##0.00"/>
    <numFmt numFmtId="189" formatCode="[$¥-411]#,##0"/>
    <numFmt numFmtId="190" formatCode="[$¥-411]#,##0.0"/>
    <numFmt numFmtId="191" formatCode="[$HKD]\ #,##0.0"/>
    <numFmt numFmtId="192" formatCode="m/d/yyyy;@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%;\(0.00%\)"/>
    <numFmt numFmtId="199" formatCode="0.0%;\(0.0%\)"/>
    <numFmt numFmtId="200" formatCode="0.0;\(0.0%\)"/>
    <numFmt numFmtId="201" formatCode="&quot;L + &quot;\ ##"/>
    <numFmt numFmtId="202" formatCode="&quot;L + &quot;\ 0.0%"/>
    <numFmt numFmtId="203" formatCode="&quot;L + &quot;\ ##.##"/>
    <numFmt numFmtId="204" formatCode="0.0\ \x;[Red]\ \(0.0\ \x\)"/>
    <numFmt numFmtId="205" formatCode="[$-409]h:mm:ss\ AM/PM"/>
    <numFmt numFmtId="206" formatCode="&quot;no&quot;;&quot;yes&quot;"/>
    <numFmt numFmtId="207" formatCode="&quot;no&quot;;;&quot;yes&quot;"/>
    <numFmt numFmtId="208" formatCode="&quot;yes&quot;;;&quot;no&quot;"/>
    <numFmt numFmtId="209" formatCode="&quot;Yes&quot;;;&quot;No&quot;"/>
    <numFmt numFmtId="210" formatCode="0.00\ \x"/>
    <numFmt numFmtId="211" formatCode="0.00\ \x;[Red]\ 0.00\ \x"/>
    <numFmt numFmtId="212" formatCode="#,##0.0_);[Red]\(#,##0.0\)"/>
    <numFmt numFmtId="213" formatCode="0.000%"/>
    <numFmt numFmtId="214" formatCode="0.000000000000000%"/>
    <numFmt numFmtId="215" formatCode="_(&quot;$&quot;* #,##0_);[Red]_(&quot;$&quot;* \(#,##0\);_(&quot;$&quot;* &quot;-&quot;_);_(@_)"/>
    <numFmt numFmtId="216" formatCode="_(* #,##0_);[Red]_(* \(#,##0\);_(* &quot;-&quot;_);_(@_)"/>
    <numFmt numFmtId="217" formatCode="_(&quot;$&quot;* #,##0.00_);[Red]_(&quot;$&quot;* \(#,##0.00\);_(&quot;$&quot;* &quot;-&quot;??_);_(@_)"/>
    <numFmt numFmtId="218" formatCode="_(* #,##0.00_);[Red]_(* \(#,##0.00\);_(* &quot;-&quot;??_);_(@_)"/>
    <numFmt numFmtId="219" formatCode="\$#,##0.00"/>
    <numFmt numFmtId="220" formatCode="0.0000%"/>
    <numFmt numFmtId="221" formatCode="yyyy"/>
    <numFmt numFmtId="222" formatCode="_(* #,##0.000_);_(* \(#,##0.000\);_(* &quot;-&quot;???_);_(@_)"/>
    <numFmt numFmtId="223" formatCode="_(&quot;$&quot;* #,##0.000_);_(&quot;$&quot;* \(#,##0.000\);_(&quot;$&quot;* &quot;-&quot;?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color indexed="17"/>
      <name val="Calibri"/>
      <family val="2"/>
    </font>
    <font>
      <i/>
      <sz val="11"/>
      <name val="Calibri"/>
      <family val="2"/>
    </font>
    <font>
      <b/>
      <sz val="11"/>
      <color indexed="17"/>
      <name val="Calibri"/>
      <family val="2"/>
    </font>
    <font>
      <b/>
      <i/>
      <sz val="11"/>
      <name val="Calibri"/>
      <family val="2"/>
    </font>
    <font>
      <b/>
      <i/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1"/>
      <color indexed="62"/>
      <name val="Calibri"/>
      <family val="2"/>
    </font>
    <font>
      <sz val="7"/>
      <color indexed="8"/>
      <name val="Times New Roman"/>
      <family val="1"/>
    </font>
    <font>
      <sz val="11"/>
      <color indexed="8"/>
      <name val="Symbo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B05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i/>
      <sz val="11"/>
      <color rgb="FF00B050"/>
      <name val="Calibri"/>
      <family val="2"/>
    </font>
    <font>
      <sz val="11"/>
      <color theme="4"/>
      <name val="Calibri"/>
      <family val="2"/>
    </font>
    <font>
      <i/>
      <sz val="11"/>
      <color theme="1"/>
      <name val="Calibri"/>
      <family val="2"/>
    </font>
    <font>
      <b/>
      <sz val="11"/>
      <color theme="4"/>
      <name val="Calibri"/>
      <family val="2"/>
    </font>
    <font>
      <sz val="11"/>
      <color theme="1"/>
      <name val="Symbol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0" fillId="0" borderId="0" xfId="0" applyBorder="1" applyAlignment="1">
      <alignment horizontal="centerContinuous"/>
    </xf>
    <xf numFmtId="0" fontId="50" fillId="0" borderId="12" xfId="0" applyFont="1" applyBorder="1" applyAlignment="1">
      <alignment/>
    </xf>
    <xf numFmtId="165" fontId="24" fillId="0" borderId="13" xfId="0" applyNumberFormat="1" applyFon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/>
    </xf>
    <xf numFmtId="0" fontId="50" fillId="0" borderId="10" xfId="0" applyFont="1" applyBorder="1" applyAlignment="1">
      <alignment horizontal="left" indent="1"/>
    </xf>
    <xf numFmtId="0" fontId="50" fillId="0" borderId="10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168" fontId="52" fillId="0" borderId="0" xfId="0" applyNumberFormat="1" applyFont="1" applyBorder="1" applyAlignment="1">
      <alignment/>
    </xf>
    <xf numFmtId="6" fontId="50" fillId="0" borderId="14" xfId="0" applyNumberFormat="1" applyFont="1" applyBorder="1" applyAlignment="1">
      <alignment/>
    </xf>
    <xf numFmtId="168" fontId="26" fillId="0" borderId="0" xfId="0" applyNumberFormat="1" applyFont="1" applyBorder="1" applyAlignment="1">
      <alignment/>
    </xf>
    <xf numFmtId="6" fontId="24" fillId="0" borderId="0" xfId="0" applyNumberFormat="1" applyFont="1" applyBorder="1" applyAlignment="1">
      <alignment/>
    </xf>
    <xf numFmtId="6" fontId="5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6" fontId="24" fillId="0" borderId="13" xfId="0" applyNumberFormat="1" applyFont="1" applyBorder="1" applyAlignment="1">
      <alignment/>
    </xf>
    <xf numFmtId="6" fontId="50" fillId="0" borderId="0" xfId="0" applyNumberFormat="1" applyFont="1" applyBorder="1" applyAlignment="1">
      <alignment/>
    </xf>
    <xf numFmtId="0" fontId="53" fillId="0" borderId="14" xfId="0" applyFont="1" applyBorder="1" applyAlignment="1">
      <alignment horizontal="center"/>
    </xf>
    <xf numFmtId="168" fontId="26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50" fillId="0" borderId="10" xfId="0" applyFont="1" applyBorder="1" applyAlignment="1">
      <alignment horizontal="centerContinuous"/>
    </xf>
    <xf numFmtId="6" fontId="54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6" fontId="53" fillId="0" borderId="0" xfId="0" applyNumberFormat="1" applyFont="1" applyBorder="1" applyAlignment="1">
      <alignment/>
    </xf>
    <xf numFmtId="165" fontId="53" fillId="0" borderId="13" xfId="0" applyNumberFormat="1" applyFont="1" applyBorder="1" applyAlignment="1">
      <alignment/>
    </xf>
    <xf numFmtId="168" fontId="5" fillId="0" borderId="10" xfId="0" applyNumberFormat="1" applyFont="1" applyBorder="1" applyAlignment="1">
      <alignment horizontal="left" indent="1"/>
    </xf>
    <xf numFmtId="168" fontId="24" fillId="0" borderId="10" xfId="0" applyNumberFormat="1" applyFont="1" applyBorder="1" applyAlignment="1">
      <alignment horizontal="centerContinuous"/>
    </xf>
    <xf numFmtId="168" fontId="28" fillId="0" borderId="0" xfId="0" applyNumberFormat="1" applyFont="1" applyBorder="1" applyAlignment="1">
      <alignment horizontal="centerContinuous"/>
    </xf>
    <xf numFmtId="168" fontId="55" fillId="0" borderId="0" xfId="0" applyNumberFormat="1" applyFont="1" applyBorder="1" applyAlignment="1">
      <alignment horizontal="centerContinuous"/>
    </xf>
    <xf numFmtId="6" fontId="24" fillId="0" borderId="15" xfId="0" applyNumberFormat="1" applyFont="1" applyBorder="1" applyAlignment="1">
      <alignment/>
    </xf>
    <xf numFmtId="0" fontId="50" fillId="0" borderId="0" xfId="0" applyFont="1" applyBorder="1" applyAlignment="1">
      <alignment horizontal="centerContinuous"/>
    </xf>
    <xf numFmtId="0" fontId="50" fillId="0" borderId="0" xfId="0" applyFont="1" applyAlignment="1">
      <alignment horizontal="centerContinuous"/>
    </xf>
    <xf numFmtId="0" fontId="0" fillId="0" borderId="10" xfId="0" applyFont="1" applyBorder="1" applyAlignment="1">
      <alignment horizontal="left"/>
    </xf>
    <xf numFmtId="6" fontId="5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6" fontId="56" fillId="0" borderId="0" xfId="0" applyNumberFormat="1" applyFont="1" applyBorder="1" applyAlignment="1">
      <alignment/>
    </xf>
    <xf numFmtId="4" fontId="53" fillId="0" borderId="0" xfId="0" applyNumberFormat="1" applyFont="1" applyBorder="1" applyAlignment="1">
      <alignment horizontal="left"/>
    </xf>
    <xf numFmtId="168" fontId="55" fillId="0" borderId="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50" fillId="0" borderId="0" xfId="0" applyFont="1" applyBorder="1" applyAlignment="1">
      <alignment/>
    </xf>
    <xf numFmtId="0" fontId="0" fillId="0" borderId="17" xfId="0" applyBorder="1" applyAlignment="1">
      <alignment/>
    </xf>
    <xf numFmtId="0" fontId="24" fillId="0" borderId="0" xfId="0" applyFont="1" applyBorder="1" applyAlignment="1">
      <alignment horizontal="center"/>
    </xf>
    <xf numFmtId="6" fontId="0" fillId="0" borderId="0" xfId="0" applyNumberFormat="1" applyBorder="1" applyAlignment="1">
      <alignment/>
    </xf>
    <xf numFmtId="6" fontId="50" fillId="0" borderId="15" xfId="0" applyNumberFormat="1" applyFont="1" applyBorder="1" applyAlignment="1">
      <alignment/>
    </xf>
    <xf numFmtId="4" fontId="53" fillId="0" borderId="14" xfId="0" applyNumberFormat="1" applyFont="1" applyBorder="1" applyAlignment="1">
      <alignment horizontal="left"/>
    </xf>
    <xf numFmtId="6" fontId="53" fillId="0" borderId="14" xfId="0" applyNumberFormat="1" applyFont="1" applyBorder="1" applyAlignment="1">
      <alignment/>
    </xf>
    <xf numFmtId="6" fontId="5" fillId="0" borderId="14" xfId="0" applyNumberFormat="1" applyFont="1" applyBorder="1" applyAlignment="1">
      <alignment/>
    </xf>
    <xf numFmtId="6" fontId="24" fillId="0" borderId="14" xfId="0" applyNumberFormat="1" applyFont="1" applyBorder="1" applyAlignment="1">
      <alignment/>
    </xf>
    <xf numFmtId="168" fontId="52" fillId="0" borderId="14" xfId="0" applyNumberFormat="1" applyFont="1" applyBorder="1" applyAlignment="1">
      <alignment/>
    </xf>
    <xf numFmtId="168" fontId="55" fillId="0" borderId="14" xfId="0" applyNumberFormat="1" applyFont="1" applyBorder="1" applyAlignment="1">
      <alignment horizontal="left"/>
    </xf>
    <xf numFmtId="6" fontId="24" fillId="0" borderId="16" xfId="0" applyNumberFormat="1" applyFont="1" applyBorder="1" applyAlignment="1">
      <alignment/>
    </xf>
    <xf numFmtId="0" fontId="53" fillId="0" borderId="14" xfId="0" applyFont="1" applyBorder="1" applyAlignment="1">
      <alignment horizontal="centerContinuous"/>
    </xf>
    <xf numFmtId="6" fontId="0" fillId="0" borderId="14" xfId="0" applyNumberFormat="1" applyFont="1" applyBorder="1" applyAlignment="1">
      <alignment/>
    </xf>
    <xf numFmtId="6" fontId="0" fillId="0" borderId="14" xfId="0" applyNumberFormat="1" applyBorder="1" applyAlignment="1">
      <alignment/>
    </xf>
    <xf numFmtId="6" fontId="50" fillId="0" borderId="16" xfId="0" applyNumberFormat="1" applyFont="1" applyBorder="1" applyAlignment="1">
      <alignment/>
    </xf>
    <xf numFmtId="0" fontId="50" fillId="34" borderId="18" xfId="0" applyFont="1" applyFill="1" applyBorder="1" applyAlignment="1">
      <alignment horizontal="centerContinuous"/>
    </xf>
    <xf numFmtId="0" fontId="0" fillId="34" borderId="19" xfId="0" applyFill="1" applyBorder="1" applyAlignment="1">
      <alignment horizontal="centerContinuous"/>
    </xf>
    <xf numFmtId="0" fontId="50" fillId="35" borderId="19" xfId="0" applyFont="1" applyFill="1" applyBorder="1" applyAlignment="1">
      <alignment horizontal="centerContinuous"/>
    </xf>
    <xf numFmtId="0" fontId="50" fillId="35" borderId="20" xfId="0" applyFont="1" applyFill="1" applyBorder="1" applyAlignment="1">
      <alignment horizontal="centerContinuous"/>
    </xf>
    <xf numFmtId="0" fontId="0" fillId="34" borderId="20" xfId="0" applyFill="1" applyBorder="1" applyAlignment="1">
      <alignment horizontal="centerContinuous"/>
    </xf>
    <xf numFmtId="0" fontId="0" fillId="0" borderId="10" xfId="0" applyFont="1" applyBorder="1" applyAlignment="1">
      <alignment horizontal="left" indent="1"/>
    </xf>
    <xf numFmtId="6" fontId="50" fillId="0" borderId="10" xfId="0" applyNumberFormat="1" applyFont="1" applyBorder="1" applyAlignment="1">
      <alignment/>
    </xf>
    <xf numFmtId="6" fontId="0" fillId="0" borderId="0" xfId="0" applyNumberFormat="1" applyAlignment="1">
      <alignment/>
    </xf>
    <xf numFmtId="3" fontId="5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0" fillId="0" borderId="12" xfId="0" applyFont="1" applyBorder="1" applyAlignment="1">
      <alignment horizontal="left" indent="1"/>
    </xf>
    <xf numFmtId="0" fontId="50" fillId="0" borderId="0" xfId="0" applyFont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0" fillId="0" borderId="13" xfId="0" applyFont="1" applyBorder="1" applyAlignment="1">
      <alignment/>
    </xf>
    <xf numFmtId="8" fontId="56" fillId="0" borderId="0" xfId="0" applyNumberFormat="1" applyFont="1" applyBorder="1" applyAlignment="1">
      <alignment horizontal="right"/>
    </xf>
    <xf numFmtId="0" fontId="24" fillId="0" borderId="14" xfId="0" applyFont="1" applyBorder="1" applyAlignment="1">
      <alignment horizontal="center"/>
    </xf>
    <xf numFmtId="186" fontId="5" fillId="0" borderId="14" xfId="57" applyNumberFormat="1" applyFont="1" applyBorder="1">
      <alignment/>
      <protection/>
    </xf>
    <xf numFmtId="0" fontId="0" fillId="0" borderId="0" xfId="0" applyFont="1" applyAlignment="1">
      <alignment/>
    </xf>
    <xf numFmtId="42" fontId="5" fillId="0" borderId="0" xfId="57" applyNumberFormat="1" applyFont="1" applyBorder="1">
      <alignment/>
      <protection/>
    </xf>
    <xf numFmtId="41" fontId="5" fillId="0" borderId="0" xfId="57" applyNumberFormat="1" applyFont="1" applyBorder="1">
      <alignment/>
      <protection/>
    </xf>
    <xf numFmtId="164" fontId="26" fillId="0" borderId="0" xfId="0" applyNumberFormat="1" applyFont="1" applyBorder="1" applyAlignment="1">
      <alignment/>
    </xf>
    <xf numFmtId="164" fontId="26" fillId="0" borderId="14" xfId="0" applyNumberFormat="1" applyFont="1" applyBorder="1" applyAlignment="1">
      <alignment/>
    </xf>
    <xf numFmtId="0" fontId="9" fillId="33" borderId="11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 indent="1"/>
    </xf>
    <xf numFmtId="41" fontId="56" fillId="0" borderId="14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9" xfId="0" applyBorder="1" applyAlignment="1">
      <alignment/>
    </xf>
    <xf numFmtId="9" fontId="56" fillId="0" borderId="0" xfId="0" applyNumberFormat="1" applyFont="1" applyBorder="1" applyAlignment="1">
      <alignment/>
    </xf>
    <xf numFmtId="0" fontId="50" fillId="0" borderId="10" xfId="0" applyFont="1" applyFill="1" applyBorder="1" applyAlignment="1">
      <alignment horizontal="centerContinuous"/>
    </xf>
    <xf numFmtId="0" fontId="50" fillId="0" borderId="19" xfId="0" applyFont="1" applyBorder="1" applyAlignment="1">
      <alignment/>
    </xf>
    <xf numFmtId="164" fontId="56" fillId="0" borderId="0" xfId="0" applyNumberFormat="1" applyFont="1" applyBorder="1" applyAlignment="1">
      <alignment/>
    </xf>
    <xf numFmtId="164" fontId="56" fillId="0" borderId="15" xfId="0" applyNumberFormat="1" applyFont="1" applyBorder="1" applyAlignment="1">
      <alignment/>
    </xf>
    <xf numFmtId="0" fontId="34" fillId="33" borderId="11" xfId="0" applyFont="1" applyFill="1" applyBorder="1" applyAlignment="1">
      <alignment/>
    </xf>
    <xf numFmtId="0" fontId="34" fillId="33" borderId="13" xfId="0" applyFont="1" applyFill="1" applyBorder="1" applyAlignment="1">
      <alignment/>
    </xf>
    <xf numFmtId="0" fontId="37" fillId="33" borderId="13" xfId="0" applyFont="1" applyFill="1" applyBorder="1" applyAlignment="1">
      <alignment horizontal="centerContinuous"/>
    </xf>
    <xf numFmtId="0" fontId="37" fillId="33" borderId="17" xfId="0" applyFont="1" applyFill="1" applyBorder="1" applyAlignment="1">
      <alignment horizontal="centerContinuous"/>
    </xf>
    <xf numFmtId="0" fontId="34" fillId="33" borderId="10" xfId="0" applyFont="1" applyFill="1" applyBorder="1" applyAlignment="1">
      <alignment/>
    </xf>
    <xf numFmtId="199" fontId="56" fillId="20" borderId="11" xfId="0" applyNumberFormat="1" applyFont="1" applyFill="1" applyBorder="1" applyAlignment="1">
      <alignment/>
    </xf>
    <xf numFmtId="44" fontId="37" fillId="20" borderId="10" xfId="57" applyNumberFormat="1" applyFont="1" applyFill="1" applyBorder="1">
      <alignment/>
      <protection/>
    </xf>
    <xf numFmtId="168" fontId="0" fillId="0" borderId="11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168" fontId="0" fillId="0" borderId="17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6" fontId="50" fillId="0" borderId="19" xfId="0" applyNumberFormat="1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2" xfId="0" applyFont="1" applyBorder="1" applyAlignment="1">
      <alignment horizontal="left"/>
    </xf>
    <xf numFmtId="168" fontId="50" fillId="0" borderId="15" xfId="0" applyNumberFormat="1" applyFont="1" applyBorder="1" applyAlignment="1">
      <alignment/>
    </xf>
    <xf numFmtId="0" fontId="0" fillId="0" borderId="18" xfId="0" applyBorder="1" applyAlignment="1">
      <alignment horizontal="left" indent="1"/>
    </xf>
    <xf numFmtId="0" fontId="24" fillId="0" borderId="17" xfId="0" applyFont="1" applyBorder="1" applyAlignment="1">
      <alignment horizontal="center"/>
    </xf>
    <xf numFmtId="164" fontId="52" fillId="0" borderId="0" xfId="0" applyNumberFormat="1" applyFont="1" applyBorder="1" applyAlignment="1">
      <alignment/>
    </xf>
    <xf numFmtId="164" fontId="52" fillId="0" borderId="14" xfId="0" applyNumberFormat="1" applyFont="1" applyBorder="1" applyAlignment="1">
      <alignment/>
    </xf>
    <xf numFmtId="164" fontId="52" fillId="0" borderId="15" xfId="0" applyNumberFormat="1" applyFont="1" applyBorder="1" applyAlignment="1">
      <alignment/>
    </xf>
    <xf numFmtId="164" fontId="52" fillId="0" borderId="16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0" fontId="56" fillId="0" borderId="0" xfId="0" applyNumberFormat="1" applyFont="1" applyBorder="1" applyAlignment="1">
      <alignment/>
    </xf>
    <xf numFmtId="0" fontId="50" fillId="0" borderId="18" xfId="0" applyFont="1" applyBorder="1" applyAlignment="1">
      <alignment/>
    </xf>
    <xf numFmtId="0" fontId="0" fillId="0" borderId="20" xfId="0" applyBorder="1" applyAlignment="1">
      <alignment/>
    </xf>
    <xf numFmtId="186" fontId="0" fillId="0" borderId="14" xfId="0" applyNumberFormat="1" applyBorder="1" applyAlignment="1">
      <alignment/>
    </xf>
    <xf numFmtId="164" fontId="50" fillId="0" borderId="16" xfId="0" applyNumberFormat="1" applyFont="1" applyBorder="1" applyAlignment="1">
      <alignment/>
    </xf>
    <xf numFmtId="199" fontId="56" fillId="20" borderId="13" xfId="0" applyNumberFormat="1" applyFont="1" applyFill="1" applyBorder="1" applyAlignment="1">
      <alignment/>
    </xf>
    <xf numFmtId="44" fontId="37" fillId="20" borderId="12" xfId="57" applyNumberFormat="1" applyFont="1" applyFill="1" applyBorder="1">
      <alignment/>
      <protection/>
    </xf>
    <xf numFmtId="164" fontId="37" fillId="20" borderId="16" xfId="57" applyNumberFormat="1" applyFont="1" applyFill="1" applyBorder="1" applyAlignment="1">
      <alignment horizontal="center"/>
      <protection/>
    </xf>
    <xf numFmtId="164" fontId="37" fillId="20" borderId="14" xfId="57" applyNumberFormat="1" applyFont="1" applyFill="1" applyBorder="1" applyAlignment="1">
      <alignment horizontal="center"/>
      <protection/>
    </xf>
    <xf numFmtId="186" fontId="37" fillId="20" borderId="19" xfId="57" applyNumberFormat="1" applyFont="1" applyFill="1" applyBorder="1" applyAlignment="1">
      <alignment horizontal="center"/>
      <protection/>
    </xf>
    <xf numFmtId="186" fontId="5" fillId="0" borderId="0" xfId="57" applyNumberFormat="1" applyFont="1" applyBorder="1">
      <alignment/>
      <protection/>
    </xf>
    <xf numFmtId="0" fontId="0" fillId="0" borderId="10" xfId="0" applyFill="1" applyBorder="1" applyAlignment="1">
      <alignment/>
    </xf>
    <xf numFmtId="186" fontId="56" fillId="0" borderId="0" xfId="57" applyNumberFormat="1" applyFont="1" applyBorder="1">
      <alignment/>
      <protection/>
    </xf>
    <xf numFmtId="10" fontId="56" fillId="0" borderId="14" xfId="0" applyNumberFormat="1" applyFont="1" applyBorder="1" applyAlignment="1">
      <alignment/>
    </xf>
    <xf numFmtId="0" fontId="0" fillId="0" borderId="0" xfId="0" applyFill="1" applyBorder="1" applyAlignment="1">
      <alignment horizontal="centerContinuous"/>
    </xf>
    <xf numFmtId="201" fontId="56" fillId="0" borderId="0" xfId="57" applyNumberFormat="1" applyFont="1" applyBorder="1">
      <alignment/>
      <protection/>
    </xf>
    <xf numFmtId="10" fontId="56" fillId="0" borderId="15" xfId="0" applyNumberFormat="1" applyFont="1" applyBorder="1" applyAlignment="1">
      <alignment/>
    </xf>
    <xf numFmtId="41" fontId="56" fillId="0" borderId="15" xfId="0" applyNumberFormat="1" applyFont="1" applyBorder="1" applyAlignment="1">
      <alignment/>
    </xf>
    <xf numFmtId="4" fontId="50" fillId="2" borderId="19" xfId="0" applyNumberFormat="1" applyFont="1" applyFill="1" applyBorder="1" applyAlignment="1">
      <alignment horizontal="centerContinuous"/>
    </xf>
    <xf numFmtId="4" fontId="0" fillId="2" borderId="19" xfId="0" applyNumberFormat="1" applyFill="1" applyBorder="1" applyAlignment="1">
      <alignment horizontal="centerContinuous"/>
    </xf>
    <xf numFmtId="4" fontId="0" fillId="2" borderId="20" xfId="0" applyNumberFormat="1" applyFill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24" fillId="0" borderId="15" xfId="0" applyFont="1" applyBorder="1" applyAlignment="1">
      <alignment horizontal="centerContinuous"/>
    </xf>
    <xf numFmtId="0" fontId="53" fillId="0" borderId="0" xfId="0" applyFont="1" applyBorder="1" applyAlignment="1">
      <alignment horizontal="center"/>
    </xf>
    <xf numFmtId="6" fontId="54" fillId="0" borderId="13" xfId="0" applyNumberFormat="1" applyFont="1" applyBorder="1" applyAlignment="1">
      <alignment/>
    </xf>
    <xf numFmtId="6" fontId="5" fillId="0" borderId="13" xfId="0" applyNumberFormat="1" applyFont="1" applyBorder="1" applyAlignment="1">
      <alignment/>
    </xf>
    <xf numFmtId="6" fontId="54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6" fontId="56" fillId="0" borderId="19" xfId="0" applyNumberFormat="1" applyFont="1" applyBorder="1" applyAlignment="1">
      <alignment/>
    </xf>
    <xf numFmtId="6" fontId="24" fillId="0" borderId="19" xfId="0" applyNumberFormat="1" applyFont="1" applyBorder="1" applyAlignment="1">
      <alignment/>
    </xf>
    <xf numFmtId="6" fontId="56" fillId="0" borderId="13" xfId="0" applyNumberFormat="1" applyFont="1" applyBorder="1" applyAlignment="1">
      <alignment/>
    </xf>
    <xf numFmtId="6" fontId="56" fillId="0" borderId="15" xfId="0" applyNumberFormat="1" applyFont="1" applyBorder="1" applyAlignment="1">
      <alignment/>
    </xf>
    <xf numFmtId="6" fontId="50" fillId="0" borderId="0" xfId="0" applyNumberFormat="1" applyFont="1" applyAlignment="1">
      <alignment/>
    </xf>
    <xf numFmtId="172" fontId="50" fillId="0" borderId="0" xfId="0" applyNumberFormat="1" applyFont="1" applyAlignment="1">
      <alignment/>
    </xf>
    <xf numFmtId="0" fontId="53" fillId="0" borderId="0" xfId="0" applyFont="1" applyBorder="1" applyAlignment="1">
      <alignment horizontal="centerContinuous"/>
    </xf>
    <xf numFmtId="0" fontId="50" fillId="0" borderId="18" xfId="0" applyFont="1" applyBorder="1" applyAlignment="1">
      <alignment horizontal="left" indent="2"/>
    </xf>
    <xf numFmtId="0" fontId="50" fillId="0" borderId="10" xfId="0" applyFont="1" applyBorder="1" applyAlignment="1">
      <alignment horizontal="left" indent="2"/>
    </xf>
    <xf numFmtId="0" fontId="5" fillId="0" borderId="14" xfId="0" applyFont="1" applyBorder="1" applyAlignment="1">
      <alignment horizontal="centerContinuous"/>
    </xf>
    <xf numFmtId="4" fontId="5" fillId="0" borderId="0" xfId="0" applyNumberFormat="1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10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14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24" fillId="0" borderId="13" xfId="0" applyFont="1" applyBorder="1" applyAlignment="1">
      <alignment horizontal="center"/>
    </xf>
    <xf numFmtId="0" fontId="57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24" fillId="0" borderId="19" xfId="0" applyFont="1" applyBorder="1" applyAlignment="1">
      <alignment horizontal="center"/>
    </xf>
    <xf numFmtId="164" fontId="50" fillId="0" borderId="15" xfId="0" applyNumberFormat="1" applyFont="1" applyBorder="1" applyAlignment="1">
      <alignment/>
    </xf>
    <xf numFmtId="0" fontId="37" fillId="0" borderId="0" xfId="0" applyFont="1" applyFill="1" applyBorder="1" applyAlignment="1">
      <alignment horizontal="left"/>
    </xf>
    <xf numFmtId="186" fontId="37" fillId="20" borderId="20" xfId="57" applyNumberFormat="1" applyFont="1" applyFill="1" applyBorder="1" applyAlignment="1">
      <alignment horizontal="center"/>
      <protection/>
    </xf>
    <xf numFmtId="168" fontId="0" fillId="0" borderId="0" xfId="0" applyNumberFormat="1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44" fontId="56" fillId="0" borderId="0" xfId="0" applyNumberFormat="1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186" fontId="0" fillId="0" borderId="0" xfId="0" applyNumberFormat="1" applyBorder="1" applyAlignment="1">
      <alignment/>
    </xf>
    <xf numFmtId="14" fontId="56" fillId="0" borderId="0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ont="1" applyBorder="1" applyAlignment="1">
      <alignment/>
    </xf>
    <xf numFmtId="221" fontId="24" fillId="0" borderId="20" xfId="0" applyNumberFormat="1" applyFont="1" applyBorder="1" applyAlignment="1">
      <alignment horizontal="center"/>
    </xf>
    <xf numFmtId="221" fontId="5" fillId="0" borderId="19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Continuous"/>
    </xf>
    <xf numFmtId="221" fontId="5" fillId="0" borderId="14" xfId="0" applyNumberFormat="1" applyFont="1" applyBorder="1" applyAlignment="1">
      <alignment horizontal="center"/>
    </xf>
    <xf numFmtId="221" fontId="24" fillId="0" borderId="18" xfId="0" applyNumberFormat="1" applyFont="1" applyBorder="1" applyAlignment="1">
      <alignment horizontal="center"/>
    </xf>
    <xf numFmtId="221" fontId="5" fillId="0" borderId="18" xfId="0" applyNumberFormat="1" applyFont="1" applyBorder="1" applyAlignment="1">
      <alignment horizontal="center"/>
    </xf>
    <xf numFmtId="4" fontId="24" fillId="0" borderId="15" xfId="0" applyNumberFormat="1" applyFont="1" applyBorder="1" applyAlignment="1">
      <alignment horizontal="centerContinuous"/>
    </xf>
    <xf numFmtId="221" fontId="5" fillId="0" borderId="20" xfId="0" applyNumberFormat="1" applyFont="1" applyBorder="1" applyAlignment="1">
      <alignment horizontal="center"/>
    </xf>
    <xf numFmtId="0" fontId="24" fillId="0" borderId="14" xfId="0" applyFont="1" applyBorder="1" applyAlignment="1">
      <alignment/>
    </xf>
    <xf numFmtId="42" fontId="58" fillId="0" borderId="0" xfId="0" applyNumberFormat="1" applyFont="1" applyBorder="1" applyAlignment="1">
      <alignment/>
    </xf>
    <xf numFmtId="42" fontId="58" fillId="0" borderId="14" xfId="0" applyNumberFormat="1" applyFont="1" applyBorder="1" applyAlignment="1">
      <alignment/>
    </xf>
    <xf numFmtId="0" fontId="24" fillId="0" borderId="12" xfId="0" applyFont="1" applyBorder="1" applyAlignment="1">
      <alignment horizontal="centerContinuous"/>
    </xf>
    <xf numFmtId="41" fontId="56" fillId="0" borderId="0" xfId="0" applyNumberFormat="1" applyFont="1" applyBorder="1" applyAlignment="1">
      <alignment/>
    </xf>
    <xf numFmtId="42" fontId="50" fillId="0" borderId="0" xfId="0" applyNumberFormat="1" applyFont="1" applyBorder="1" applyAlignment="1">
      <alignment/>
    </xf>
    <xf numFmtId="41" fontId="50" fillId="0" borderId="0" xfId="0" applyNumberFormat="1" applyFont="1" applyBorder="1" applyAlignment="1">
      <alignment/>
    </xf>
    <xf numFmtId="41" fontId="50" fillId="0" borderId="14" xfId="0" applyNumberFormat="1" applyFont="1" applyBorder="1" applyAlignment="1">
      <alignment/>
    </xf>
    <xf numFmtId="41" fontId="50" fillId="0" borderId="13" xfId="0" applyNumberFormat="1" applyFont="1" applyBorder="1" applyAlignment="1">
      <alignment/>
    </xf>
    <xf numFmtId="41" fontId="50" fillId="0" borderId="17" xfId="0" applyNumberFormat="1" applyFont="1" applyBorder="1" applyAlignment="1">
      <alignment/>
    </xf>
    <xf numFmtId="0" fontId="50" fillId="0" borderId="11" xfId="0" applyFont="1" applyBorder="1" applyAlignment="1">
      <alignment horizontal="left" indent="1"/>
    </xf>
    <xf numFmtId="164" fontId="5" fillId="0" borderId="14" xfId="0" applyNumberFormat="1" applyFont="1" applyBorder="1" applyAlignment="1">
      <alignment/>
    </xf>
    <xf numFmtId="164" fontId="56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42" fontId="37" fillId="0" borderId="0" xfId="0" applyNumberFormat="1" applyFont="1" applyBorder="1" applyAlignment="1">
      <alignment/>
    </xf>
    <xf numFmtId="42" fontId="56" fillId="0" borderId="0" xfId="0" applyNumberFormat="1" applyFont="1" applyBorder="1" applyAlignment="1">
      <alignment/>
    </xf>
    <xf numFmtId="42" fontId="50" fillId="0" borderId="13" xfId="0" applyNumberFormat="1" applyFont="1" applyBorder="1" applyAlignment="1">
      <alignment/>
    </xf>
    <xf numFmtId="41" fontId="56" fillId="0" borderId="19" xfId="0" applyNumberFormat="1" applyFont="1" applyBorder="1" applyAlignment="1">
      <alignment/>
    </xf>
    <xf numFmtId="42" fontId="50" fillId="0" borderId="17" xfId="0" applyNumberFormat="1" applyFont="1" applyBorder="1" applyAlignment="1">
      <alignment/>
    </xf>
    <xf numFmtId="168" fontId="24" fillId="0" borderId="10" xfId="0" applyNumberFormat="1" applyFont="1" applyBorder="1" applyAlignment="1">
      <alignment/>
    </xf>
    <xf numFmtId="41" fontId="50" fillId="0" borderId="0" xfId="0" applyNumberFormat="1" applyFont="1" applyAlignment="1">
      <alignment/>
    </xf>
    <xf numFmtId="42" fontId="50" fillId="0" borderId="0" xfId="0" applyNumberFormat="1" applyFont="1" applyAlignment="1">
      <alignment/>
    </xf>
    <xf numFmtId="42" fontId="50" fillId="0" borderId="14" xfId="0" applyNumberFormat="1" applyFont="1" applyBorder="1" applyAlignment="1">
      <alignment/>
    </xf>
    <xf numFmtId="42" fontId="56" fillId="0" borderId="19" xfId="0" applyNumberFormat="1" applyFont="1" applyBorder="1" applyAlignment="1">
      <alignment/>
    </xf>
    <xf numFmtId="41" fontId="56" fillId="0" borderId="13" xfId="0" applyNumberFormat="1" applyFont="1" applyBorder="1" applyAlignment="1">
      <alignment/>
    </xf>
    <xf numFmtId="41" fontId="56" fillId="0" borderId="17" xfId="0" applyNumberFormat="1" applyFont="1" applyBorder="1" applyAlignment="1">
      <alignment/>
    </xf>
    <xf numFmtId="41" fontId="0" fillId="0" borderId="13" xfId="0" applyNumberFormat="1" applyBorder="1" applyAlignment="1">
      <alignment/>
    </xf>
    <xf numFmtId="42" fontId="50" fillId="0" borderId="15" xfId="0" applyNumberFormat="1" applyFont="1" applyBorder="1" applyAlignment="1">
      <alignment/>
    </xf>
    <xf numFmtId="41" fontId="50" fillId="0" borderId="15" xfId="0" applyNumberFormat="1" applyFont="1" applyBorder="1" applyAlignment="1">
      <alignment/>
    </xf>
    <xf numFmtId="42" fontId="50" fillId="0" borderId="16" xfId="0" applyNumberFormat="1" applyFont="1" applyBorder="1" applyAlignment="1">
      <alignment/>
    </xf>
    <xf numFmtId="42" fontId="24" fillId="0" borderId="10" xfId="0" applyNumberFormat="1" applyFont="1" applyBorder="1" applyAlignment="1">
      <alignment/>
    </xf>
    <xf numFmtId="42" fontId="24" fillId="0" borderId="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50" fillId="0" borderId="11" xfId="0" applyNumberFormat="1" applyFont="1" applyBorder="1" applyAlignment="1">
      <alignment/>
    </xf>
    <xf numFmtId="42" fontId="50" fillId="0" borderId="12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42" fontId="24" fillId="0" borderId="14" xfId="0" applyNumberFormat="1" applyFont="1" applyBorder="1" applyAlignment="1">
      <alignment/>
    </xf>
    <xf numFmtId="41" fontId="5" fillId="0" borderId="14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41" fontId="5" fillId="0" borderId="17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41" fontId="5" fillId="0" borderId="16" xfId="0" applyNumberFormat="1" applyFont="1" applyBorder="1" applyAlignment="1">
      <alignment/>
    </xf>
    <xf numFmtId="41" fontId="24" fillId="0" borderId="13" xfId="0" applyNumberFormat="1" applyFont="1" applyBorder="1" applyAlignment="1">
      <alignment/>
    </xf>
    <xf numFmtId="41" fontId="24" fillId="0" borderId="17" xfId="0" applyNumberFormat="1" applyFont="1" applyBorder="1" applyAlignment="1">
      <alignment/>
    </xf>
    <xf numFmtId="41" fontId="56" fillId="0" borderId="0" xfId="0" applyNumberFormat="1" applyFont="1" applyFill="1" applyBorder="1" applyAlignment="1">
      <alignment/>
    </xf>
    <xf numFmtId="41" fontId="5" fillId="0" borderId="20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41" fontId="5" fillId="0" borderId="14" xfId="0" applyNumberFormat="1" applyFont="1" applyFill="1" applyBorder="1" applyAlignment="1">
      <alignment/>
    </xf>
    <xf numFmtId="41" fontId="56" fillId="0" borderId="16" xfId="0" applyNumberFormat="1" applyFont="1" applyBorder="1" applyAlignment="1">
      <alignment/>
    </xf>
    <xf numFmtId="42" fontId="5" fillId="0" borderId="0" xfId="0" applyNumberFormat="1" applyFont="1" applyBorder="1" applyAlignment="1">
      <alignment/>
    </xf>
    <xf numFmtId="42" fontId="5" fillId="0" borderId="14" xfId="0" applyNumberFormat="1" applyFont="1" applyBorder="1" applyAlignment="1">
      <alignment/>
    </xf>
    <xf numFmtId="41" fontId="50" fillId="0" borderId="16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2" fontId="24" fillId="0" borderId="16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42" fontId="56" fillId="0" borderId="0" xfId="57" applyNumberFormat="1" applyFont="1" applyBorder="1">
      <alignment/>
      <protection/>
    </xf>
    <xf numFmtId="42" fontId="0" fillId="0" borderId="14" xfId="0" applyNumberFormat="1" applyBorder="1" applyAlignment="1">
      <alignment/>
    </xf>
    <xf numFmtId="41" fontId="0" fillId="0" borderId="14" xfId="0" applyNumberFormat="1" applyBorder="1" applyAlignment="1">
      <alignment/>
    </xf>
    <xf numFmtId="42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/>
    </xf>
    <xf numFmtId="43" fontId="54" fillId="0" borderId="0" xfId="0" applyNumberFormat="1" applyFont="1" applyBorder="1" applyAlignment="1">
      <alignment/>
    </xf>
    <xf numFmtId="43" fontId="56" fillId="0" borderId="0" xfId="0" applyNumberFormat="1" applyFont="1" applyBorder="1" applyAlignment="1">
      <alignment/>
    </xf>
    <xf numFmtId="0" fontId="50" fillId="0" borderId="0" xfId="0" applyFont="1" applyFill="1" applyBorder="1" applyAlignment="1">
      <alignment horizontal="center"/>
    </xf>
    <xf numFmtId="222" fontId="56" fillId="0" borderId="0" xfId="0" applyNumberFormat="1" applyFont="1" applyBorder="1" applyAlignment="1">
      <alignment/>
    </xf>
    <xf numFmtId="222" fontId="56" fillId="0" borderId="0" xfId="0" applyNumberFormat="1" applyFont="1" applyBorder="1" applyAlignment="1">
      <alignment horizontal="center"/>
    </xf>
    <xf numFmtId="222" fontId="56" fillId="0" borderId="0" xfId="0" applyNumberFormat="1" applyFont="1" applyFill="1" applyBorder="1" applyAlignment="1">
      <alignment horizontal="center"/>
    </xf>
    <xf numFmtId="43" fontId="0" fillId="0" borderId="0" xfId="0" applyNumberFormat="1" applyFont="1" applyBorder="1" applyAlignment="1">
      <alignment/>
    </xf>
    <xf numFmtId="222" fontId="5" fillId="0" borderId="0" xfId="0" applyNumberFormat="1" applyFont="1" applyBorder="1" applyAlignment="1">
      <alignment/>
    </xf>
    <xf numFmtId="222" fontId="5" fillId="0" borderId="0" xfId="0" applyNumberFormat="1" applyFont="1" applyBorder="1" applyAlignment="1">
      <alignment horizontal="center"/>
    </xf>
    <xf numFmtId="222" fontId="5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56" fillId="0" borderId="13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222" fontId="24" fillId="0" borderId="13" xfId="0" applyNumberFormat="1" applyFont="1" applyBorder="1" applyAlignment="1">
      <alignment horizontal="right"/>
    </xf>
    <xf numFmtId="42" fontId="0" fillId="0" borderId="0" xfId="0" applyNumberFormat="1" applyAlignment="1">
      <alignment/>
    </xf>
    <xf numFmtId="42" fontId="50" fillId="0" borderId="19" xfId="0" applyNumberFormat="1" applyFont="1" applyBorder="1" applyAlignment="1">
      <alignment/>
    </xf>
    <xf numFmtId="168" fontId="56" fillId="0" borderId="0" xfId="0" applyNumberFormat="1" applyFont="1" applyBorder="1" applyAlignment="1">
      <alignment/>
    </xf>
    <xf numFmtId="42" fontId="24" fillId="0" borderId="13" xfId="57" applyNumberFormat="1" applyFont="1" applyBorder="1">
      <alignment/>
      <protection/>
    </xf>
    <xf numFmtId="41" fontId="56" fillId="0" borderId="0" xfId="57" applyNumberFormat="1" applyFont="1" applyBorder="1">
      <alignment/>
      <protection/>
    </xf>
    <xf numFmtId="41" fontId="5" fillId="0" borderId="11" xfId="0" applyNumberFormat="1" applyFont="1" applyBorder="1" applyAlignment="1">
      <alignment/>
    </xf>
    <xf numFmtId="41" fontId="5" fillId="0" borderId="12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42" fontId="5" fillId="0" borderId="20" xfId="0" applyNumberFormat="1" applyFont="1" applyBorder="1" applyAlignment="1">
      <alignment/>
    </xf>
    <xf numFmtId="41" fontId="56" fillId="0" borderId="10" xfId="0" applyNumberFormat="1" applyFont="1" applyBorder="1" applyAlignment="1">
      <alignment/>
    </xf>
    <xf numFmtId="42" fontId="56" fillId="0" borderId="18" xfId="0" applyNumberFormat="1" applyFont="1" applyBorder="1" applyAlignment="1">
      <alignment/>
    </xf>
    <xf numFmtId="42" fontId="5" fillId="0" borderId="15" xfId="57" applyNumberFormat="1" applyFont="1" applyBorder="1">
      <alignment/>
      <protection/>
    </xf>
    <xf numFmtId="168" fontId="5" fillId="0" borderId="12" xfId="0" applyNumberFormat="1" applyFont="1" applyBorder="1" applyAlignment="1">
      <alignment horizontal="left" indent="1"/>
    </xf>
    <xf numFmtId="168" fontId="26" fillId="0" borderId="15" xfId="0" applyNumberFormat="1" applyFont="1" applyBorder="1" applyAlignment="1">
      <alignment/>
    </xf>
    <xf numFmtId="168" fontId="52" fillId="0" borderId="15" xfId="0" applyNumberFormat="1" applyFont="1" applyBorder="1" applyAlignment="1">
      <alignment/>
    </xf>
    <xf numFmtId="41" fontId="24" fillId="0" borderId="11" xfId="0" applyNumberFormat="1" applyFont="1" applyBorder="1" applyAlignment="1">
      <alignment/>
    </xf>
    <xf numFmtId="42" fontId="5" fillId="0" borderId="19" xfId="0" applyNumberFormat="1" applyFont="1" applyBorder="1" applyAlignment="1">
      <alignment/>
    </xf>
    <xf numFmtId="42" fontId="24" fillId="0" borderId="15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6" fontId="24" fillId="0" borderId="0" xfId="0" applyNumberFormat="1" applyFont="1" applyBorder="1" applyAlignment="1">
      <alignment horizontal="center"/>
    </xf>
    <xf numFmtId="41" fontId="50" fillId="0" borderId="19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221" fontId="24" fillId="0" borderId="16" xfId="0" applyNumberFormat="1" applyFont="1" applyBorder="1" applyAlignment="1">
      <alignment horizontal="center"/>
    </xf>
    <xf numFmtId="221" fontId="5" fillId="0" borderId="12" xfId="0" applyNumberFormat="1" applyFont="1" applyBorder="1" applyAlignment="1">
      <alignment horizontal="center"/>
    </xf>
    <xf numFmtId="221" fontId="5" fillId="0" borderId="15" xfId="0" applyNumberFormat="1" applyFont="1" applyBorder="1" applyAlignment="1">
      <alignment horizontal="center"/>
    </xf>
    <xf numFmtId="41" fontId="0" fillId="0" borderId="11" xfId="0" applyNumberFormat="1" applyFont="1" applyBorder="1" applyAlignment="1">
      <alignment/>
    </xf>
    <xf numFmtId="44" fontId="56" fillId="0" borderId="0" xfId="0" applyNumberFormat="1" applyFont="1" applyBorder="1" applyAlignment="1">
      <alignment/>
    </xf>
    <xf numFmtId="43" fontId="56" fillId="0" borderId="0" xfId="0" applyNumberFormat="1" applyFont="1" applyBorder="1" applyAlignment="1">
      <alignment horizontal="center"/>
    </xf>
    <xf numFmtId="9" fontId="56" fillId="0" borderId="0" xfId="0" applyNumberFormat="1" applyFont="1" applyAlignment="1">
      <alignment/>
    </xf>
    <xf numFmtId="9" fontId="56" fillId="0" borderId="15" xfId="0" applyNumberFormat="1" applyFont="1" applyBorder="1" applyAlignment="1">
      <alignment/>
    </xf>
    <xf numFmtId="168" fontId="50" fillId="0" borderId="10" xfId="0" applyNumberFormat="1" applyFont="1" applyBorder="1" applyAlignment="1">
      <alignment/>
    </xf>
    <xf numFmtId="168" fontId="50" fillId="0" borderId="0" xfId="0" applyNumberFormat="1" applyFont="1" applyBorder="1" applyAlignment="1">
      <alignment/>
    </xf>
    <xf numFmtId="168" fontId="50" fillId="0" borderId="14" xfId="0" applyNumberFormat="1" applyFont="1" applyBorder="1" applyAlignment="1">
      <alignment/>
    </xf>
    <xf numFmtId="168" fontId="50" fillId="0" borderId="13" xfId="0" applyNumberFormat="1" applyFont="1" applyBorder="1" applyAlignment="1">
      <alignment/>
    </xf>
    <xf numFmtId="164" fontId="37" fillId="20" borderId="19" xfId="57" applyNumberFormat="1" applyFont="1" applyFill="1" applyBorder="1" applyAlignment="1">
      <alignment horizontal="center"/>
      <protection/>
    </xf>
    <xf numFmtId="4" fontId="24" fillId="0" borderId="12" xfId="0" applyNumberFormat="1" applyFont="1" applyBorder="1" applyAlignment="1">
      <alignment horizontal="centerContinuous"/>
    </xf>
    <xf numFmtId="4" fontId="53" fillId="0" borderId="10" xfId="0" applyNumberFormat="1" applyFont="1" applyBorder="1" applyAlignment="1">
      <alignment horizontal="left"/>
    </xf>
    <xf numFmtId="6" fontId="53" fillId="0" borderId="10" xfId="0" applyNumberFormat="1" applyFont="1" applyBorder="1" applyAlignment="1">
      <alignment/>
    </xf>
    <xf numFmtId="42" fontId="56" fillId="0" borderId="10" xfId="0" applyNumberFormat="1" applyFont="1" applyBorder="1" applyAlignment="1">
      <alignment/>
    </xf>
    <xf numFmtId="6" fontId="24" fillId="0" borderId="11" xfId="0" applyNumberFormat="1" applyFont="1" applyBorder="1" applyAlignment="1">
      <alignment/>
    </xf>
    <xf numFmtId="6" fontId="24" fillId="0" borderId="10" xfId="0" applyNumberFormat="1" applyFont="1" applyBorder="1" applyAlignment="1">
      <alignment/>
    </xf>
    <xf numFmtId="168" fontId="52" fillId="0" borderId="10" xfId="0" applyNumberFormat="1" applyFont="1" applyBorder="1" applyAlignment="1">
      <alignment/>
    </xf>
    <xf numFmtId="168" fontId="55" fillId="0" borderId="10" xfId="0" applyNumberFormat="1" applyFont="1" applyBorder="1" applyAlignment="1">
      <alignment horizontal="left"/>
    </xf>
    <xf numFmtId="41" fontId="56" fillId="0" borderId="11" xfId="0" applyNumberFormat="1" applyFont="1" applyBorder="1" applyAlignment="1">
      <alignment/>
    </xf>
    <xf numFmtId="41" fontId="56" fillId="0" borderId="12" xfId="0" applyNumberFormat="1" applyFont="1" applyBorder="1" applyAlignment="1">
      <alignment/>
    </xf>
    <xf numFmtId="41" fontId="56" fillId="0" borderId="18" xfId="0" applyNumberFormat="1" applyFont="1" applyBorder="1" applyAlignment="1">
      <alignment/>
    </xf>
    <xf numFmtId="6" fontId="24" fillId="0" borderId="12" xfId="0" applyNumberFormat="1" applyFont="1" applyBorder="1" applyAlignment="1">
      <alignment/>
    </xf>
    <xf numFmtId="0" fontId="2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6" fontId="54" fillId="0" borderId="17" xfId="0" applyNumberFormat="1" applyFont="1" applyBorder="1" applyAlignment="1">
      <alignment/>
    </xf>
    <xf numFmtId="6" fontId="54" fillId="0" borderId="14" xfId="0" applyNumberFormat="1" applyFont="1" applyBorder="1" applyAlignment="1">
      <alignment/>
    </xf>
    <xf numFmtId="6" fontId="54" fillId="0" borderId="16" xfId="0" applyNumberFormat="1" applyFont="1" applyBorder="1" applyAlignment="1">
      <alignment/>
    </xf>
    <xf numFmtId="6" fontId="5" fillId="0" borderId="17" xfId="0" applyNumberFormat="1" applyFont="1" applyBorder="1" applyAlignment="1">
      <alignment/>
    </xf>
    <xf numFmtId="0" fontId="37" fillId="33" borderId="10" xfId="0" applyFont="1" applyFill="1" applyBorder="1" applyAlignment="1">
      <alignment horizontal="center" vertical="center" textRotation="90" wrapText="1"/>
    </xf>
    <xf numFmtId="0" fontId="37" fillId="33" borderId="12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0" fillId="0" borderId="0" xfId="0" applyFont="1" applyAlignment="1">
      <alignment wrapText="1"/>
    </xf>
    <xf numFmtId="0" fontId="59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CG-LBO-Model-Part-2-Bla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e-Study-Part-2-Blank"/>
    </sheetNames>
    <sheetDataSet>
      <sheetData sheetId="0">
        <row r="7">
          <cell r="E7" t="str">
            <v>J.Crew Group, Inc.</v>
          </cell>
          <cell r="J7">
            <v>40574</v>
          </cell>
        </row>
        <row r="10">
          <cell r="E10">
            <v>43.504574999999996</v>
          </cell>
        </row>
        <row r="13">
          <cell r="O13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3.28125" style="0" customWidth="1"/>
  </cols>
  <sheetData>
    <row r="1" ht="15">
      <c r="A1" s="341" t="s">
        <v>207</v>
      </c>
    </row>
    <row r="2" ht="23.25" customHeight="1">
      <c r="A2" s="339" t="s">
        <v>206</v>
      </c>
    </row>
    <row r="3" ht="30">
      <c r="A3" s="339" t="s">
        <v>205</v>
      </c>
    </row>
    <row r="4" ht="30">
      <c r="A4" s="339" t="s">
        <v>204</v>
      </c>
    </row>
    <row r="5" ht="30">
      <c r="A5" s="339" t="s">
        <v>203</v>
      </c>
    </row>
    <row r="6" ht="32.25" customHeight="1">
      <c r="A6" s="341" t="s">
        <v>202</v>
      </c>
    </row>
    <row r="7" ht="45">
      <c r="A7" s="339" t="s">
        <v>201</v>
      </c>
    </row>
    <row r="8" ht="15">
      <c r="A8" s="342" t="s">
        <v>200</v>
      </c>
    </row>
    <row r="9" ht="15">
      <c r="A9" s="342" t="s">
        <v>199</v>
      </c>
    </row>
    <row r="10" ht="15">
      <c r="A10" s="342" t="s">
        <v>198</v>
      </c>
    </row>
    <row r="11" ht="15">
      <c r="A11" s="342" t="s">
        <v>197</v>
      </c>
    </row>
    <row r="12" ht="30">
      <c r="A12" s="339" t="s">
        <v>196</v>
      </c>
    </row>
    <row r="13" ht="30">
      <c r="A13" s="339" t="s">
        <v>195</v>
      </c>
    </row>
    <row r="14" ht="32.25" customHeight="1">
      <c r="A14" s="341" t="s">
        <v>194</v>
      </c>
    </row>
    <row r="15" ht="21.75" customHeight="1">
      <c r="A15" s="339" t="s">
        <v>193</v>
      </c>
    </row>
    <row r="16" ht="15">
      <c r="A16" s="340" t="s">
        <v>192</v>
      </c>
    </row>
    <row r="17" ht="15">
      <c r="A17" s="340" t="s">
        <v>191</v>
      </c>
    </row>
    <row r="18" ht="15">
      <c r="A18" s="340" t="s">
        <v>190</v>
      </c>
    </row>
    <row r="19" ht="15">
      <c r="A19" s="340" t="s">
        <v>189</v>
      </c>
    </row>
    <row r="20" ht="15">
      <c r="A20" s="340" t="s">
        <v>188</v>
      </c>
    </row>
    <row r="21" ht="23.25" customHeight="1">
      <c r="A21" s="339" t="s">
        <v>187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67"/>
  <sheetViews>
    <sheetView showGridLines="0" zoomScale="130" zoomScaleNormal="130" zoomScalePageLayoutView="0" workbookViewId="0" topLeftCell="A1">
      <selection activeCell="B2" sqref="B2"/>
    </sheetView>
  </sheetViews>
  <sheetFormatPr defaultColWidth="9.140625" defaultRowHeight="15" outlineLevelCol="1"/>
  <cols>
    <col min="1" max="1" width="2.7109375" style="0" customWidth="1"/>
    <col min="5" max="5" width="9.140625" style="0" customWidth="1"/>
    <col min="6" max="6" width="9.140625" style="0" customWidth="1" outlineLevel="1"/>
    <col min="7" max="8" width="10.57421875" style="0" customWidth="1" outlineLevel="1"/>
    <col min="9" max="9" width="9.28125" style="0" customWidth="1" outlineLevel="1"/>
    <col min="10" max="10" width="10.28125" style="0" customWidth="1" outlineLevel="1"/>
    <col min="11" max="11" width="10.00390625" style="0" customWidth="1" outlineLevel="1"/>
    <col min="12" max="12" width="10.28125" style="0" customWidth="1"/>
    <col min="16" max="16" width="9.28125" style="0" bestFit="1" customWidth="1"/>
    <col min="17" max="17" width="2.7109375" style="0" customWidth="1"/>
  </cols>
  <sheetData>
    <row r="2" ht="15">
      <c r="B2" s="27" t="str">
        <f>Company_Name&amp;" - LBO Model for Private Equity Interview Case Study"</f>
        <v>J.Crew Group, Inc. - LBO Model for Private Equity Interview Case Study</v>
      </c>
    </row>
    <row r="3" ht="15">
      <c r="B3" s="85" t="s">
        <v>156</v>
      </c>
    </row>
    <row r="5" spans="2:17" ht="15">
      <c r="B5" s="90" t="s">
        <v>65</v>
      </c>
      <c r="C5" s="30"/>
      <c r="D5" s="30"/>
      <c r="E5" s="30"/>
      <c r="F5" s="30"/>
      <c r="G5" s="30"/>
      <c r="H5" s="31"/>
      <c r="I5" s="31"/>
      <c r="J5" s="31"/>
      <c r="K5" s="31"/>
      <c r="L5" s="31"/>
      <c r="M5" s="31"/>
      <c r="N5" s="31"/>
      <c r="O5" s="31"/>
      <c r="P5" s="31"/>
      <c r="Q5" s="32"/>
    </row>
    <row r="6" spans="2:17" ht="15">
      <c r="B6" s="1"/>
      <c r="C6" s="18"/>
      <c r="D6" s="18"/>
      <c r="E6" s="18"/>
      <c r="F6" s="18"/>
      <c r="G6" s="18"/>
      <c r="H6" s="18"/>
      <c r="I6" s="18"/>
      <c r="J6" s="18"/>
      <c r="K6" s="18"/>
      <c r="L6" s="18"/>
      <c r="M6" s="95"/>
      <c r="N6" s="95"/>
      <c r="O6" s="95"/>
      <c r="P6" s="95"/>
      <c r="Q6" s="193"/>
    </row>
    <row r="7" spans="2:17" ht="15">
      <c r="B7" s="1" t="s">
        <v>34</v>
      </c>
      <c r="C7" s="18"/>
      <c r="D7" s="18"/>
      <c r="E7" s="190" t="s">
        <v>155</v>
      </c>
      <c r="F7" s="18"/>
      <c r="G7" s="18" t="s">
        <v>158</v>
      </c>
      <c r="H7" s="18"/>
      <c r="I7" s="18"/>
      <c r="J7" s="192">
        <v>40574</v>
      </c>
      <c r="L7" s="95" t="s">
        <v>178</v>
      </c>
      <c r="M7" s="95"/>
      <c r="N7" s="95"/>
      <c r="O7" s="147">
        <v>7</v>
      </c>
      <c r="P7" s="95"/>
      <c r="Q7" s="193"/>
    </row>
    <row r="8" spans="2:17" ht="15">
      <c r="B8" s="1" t="s">
        <v>68</v>
      </c>
      <c r="C8" s="18"/>
      <c r="D8" s="18"/>
      <c r="E8" s="189">
        <v>37.65</v>
      </c>
      <c r="F8" s="18"/>
      <c r="G8" s="18" t="s">
        <v>66</v>
      </c>
      <c r="H8" s="18"/>
      <c r="I8" s="18"/>
      <c r="J8" s="268">
        <f>E18</f>
        <v>3014.722489839725</v>
      </c>
      <c r="L8" s="18"/>
      <c r="M8" s="18"/>
      <c r="N8" s="18"/>
      <c r="O8" s="18"/>
      <c r="P8" s="95"/>
      <c r="Q8" s="193"/>
    </row>
    <row r="9" spans="2:17" ht="15">
      <c r="B9" s="1" t="s">
        <v>90</v>
      </c>
      <c r="C9" s="18"/>
      <c r="D9" s="18"/>
      <c r="E9" s="106">
        <v>0.1555</v>
      </c>
      <c r="F9" s="18"/>
      <c r="G9" s="18" t="s">
        <v>157</v>
      </c>
      <c r="H9" s="18"/>
      <c r="I9" s="18"/>
      <c r="J9" s="262">
        <f>E24</f>
        <v>2606.9038654112364</v>
      </c>
      <c r="L9" s="18" t="s">
        <v>93</v>
      </c>
      <c r="M9" s="18"/>
      <c r="N9" s="18"/>
      <c r="O9" s="135">
        <v>0.003</v>
      </c>
      <c r="P9" s="95"/>
      <c r="Q9" s="193"/>
    </row>
    <row r="10" spans="2:17" ht="15">
      <c r="B10" s="1" t="s">
        <v>67</v>
      </c>
      <c r="C10" s="18"/>
      <c r="D10" s="18"/>
      <c r="E10" s="264">
        <f>E8*(1+E9)</f>
        <v>43.504574999999996</v>
      </c>
      <c r="F10" s="18"/>
      <c r="G10" s="18" t="s">
        <v>92</v>
      </c>
      <c r="H10" s="18"/>
      <c r="I10" s="18"/>
      <c r="J10" s="145">
        <f>J9/H100</f>
        <v>7.491103061526542</v>
      </c>
      <c r="L10" s="18" t="s">
        <v>94</v>
      </c>
      <c r="M10" s="18"/>
      <c r="N10" s="18"/>
      <c r="O10" s="135">
        <v>0.006</v>
      </c>
      <c r="P10" s="95"/>
      <c r="Q10" s="193"/>
    </row>
    <row r="11" spans="2:17" ht="15">
      <c r="B11" s="1" t="s">
        <v>177</v>
      </c>
      <c r="C11" s="18"/>
      <c r="D11" s="18"/>
      <c r="E11" s="103">
        <v>0.6136551560665717</v>
      </c>
      <c r="F11" s="18"/>
      <c r="G11" s="18" t="s">
        <v>185</v>
      </c>
      <c r="H11" s="18"/>
      <c r="I11" s="18"/>
      <c r="J11" s="262">
        <f>E11*J8</f>
        <v>1850</v>
      </c>
      <c r="K11" s="18"/>
      <c r="L11" s="95" t="s">
        <v>131</v>
      </c>
      <c r="M11" s="18"/>
      <c r="N11" s="18"/>
      <c r="O11" s="46">
        <v>5</v>
      </c>
      <c r="P11" s="95"/>
      <c r="Q11" s="193"/>
    </row>
    <row r="12" spans="2:17" ht="15">
      <c r="B12" s="1"/>
      <c r="C12" s="18"/>
      <c r="D12" s="18"/>
      <c r="E12" s="18"/>
      <c r="F12" s="134"/>
      <c r="G12" s="18"/>
      <c r="H12" s="18"/>
      <c r="I12" s="18"/>
      <c r="J12" s="18"/>
      <c r="L12" s="18"/>
      <c r="M12" s="18"/>
      <c r="N12" s="18"/>
      <c r="O12" s="18"/>
      <c r="P12" s="95"/>
      <c r="Q12" s="193"/>
    </row>
    <row r="13" spans="2:17" ht="15">
      <c r="B13" s="104" t="s">
        <v>91</v>
      </c>
      <c r="C13" s="4"/>
      <c r="D13" s="4"/>
      <c r="E13" s="4"/>
      <c r="F13" s="134"/>
      <c r="G13" s="41" t="s">
        <v>175</v>
      </c>
      <c r="H13" s="4"/>
      <c r="I13" s="4"/>
      <c r="J13" s="4"/>
      <c r="L13" s="18" t="s">
        <v>179</v>
      </c>
      <c r="M13" s="18"/>
      <c r="N13" s="18"/>
      <c r="O13" s="74">
        <v>10000</v>
      </c>
      <c r="P13" s="95"/>
      <c r="Q13" s="193"/>
    </row>
    <row r="14" spans="2:17" ht="15">
      <c r="B14" s="104"/>
      <c r="C14" s="4"/>
      <c r="D14" s="4"/>
      <c r="E14" s="4"/>
      <c r="F14" s="134"/>
      <c r="G14" s="18"/>
      <c r="H14" s="18"/>
      <c r="I14" s="18"/>
      <c r="J14" s="18"/>
      <c r="L14" s="95" t="s">
        <v>104</v>
      </c>
      <c r="M14" s="95"/>
      <c r="N14" s="95"/>
      <c r="O14" s="265">
        <v>50</v>
      </c>
      <c r="P14" s="95"/>
      <c r="Q14" s="193"/>
    </row>
    <row r="15" spans="2:17" ht="15">
      <c r="B15" s="93" t="s">
        <v>174</v>
      </c>
      <c r="C15" s="18"/>
      <c r="D15" s="18"/>
      <c r="E15" s="271">
        <v>63.789883</v>
      </c>
      <c r="F15" s="18"/>
      <c r="G15" s="18"/>
      <c r="H15" s="18"/>
      <c r="I15" s="18"/>
      <c r="J15" s="18"/>
      <c r="M15" s="95"/>
      <c r="N15" s="95"/>
      <c r="O15" s="95"/>
      <c r="P15" s="95"/>
      <c r="Q15" s="193"/>
    </row>
    <row r="16" spans="2:17" ht="15">
      <c r="B16" s="93" t="s">
        <v>175</v>
      </c>
      <c r="C16" s="18"/>
      <c r="D16" s="18"/>
      <c r="E16" s="276">
        <f>E15+J23</f>
        <v>69.29667718486446</v>
      </c>
      <c r="F16" s="16"/>
      <c r="G16" s="77"/>
      <c r="H16" s="77"/>
      <c r="I16" s="77" t="s">
        <v>52</v>
      </c>
      <c r="J16" s="77"/>
      <c r="M16" s="95"/>
      <c r="N16" s="95"/>
      <c r="O16" s="95"/>
      <c r="P16" s="95"/>
      <c r="Q16" s="193"/>
    </row>
    <row r="17" spans="2:17" ht="15">
      <c r="B17" s="1"/>
      <c r="C17" s="18"/>
      <c r="D17" s="18"/>
      <c r="E17" s="18"/>
      <c r="F17" s="75"/>
      <c r="G17" s="78" t="s">
        <v>55</v>
      </c>
      <c r="H17" s="79" t="s">
        <v>51</v>
      </c>
      <c r="I17" s="79" t="s">
        <v>53</v>
      </c>
      <c r="J17" s="78" t="s">
        <v>54</v>
      </c>
      <c r="M17" s="95"/>
      <c r="N17" s="95"/>
      <c r="O17" s="95"/>
      <c r="P17" s="95"/>
      <c r="Q17" s="193"/>
    </row>
    <row r="18" spans="2:17" ht="15">
      <c r="B18" s="2" t="s">
        <v>47</v>
      </c>
      <c r="C18" s="18"/>
      <c r="D18" s="18"/>
      <c r="E18" s="209">
        <f>E16*Offer_Price</f>
        <v>3014.722489839725</v>
      </c>
      <c r="F18" s="16"/>
      <c r="G18" s="80" t="s">
        <v>56</v>
      </c>
      <c r="H18" s="273">
        <v>0.761</v>
      </c>
      <c r="I18" s="310">
        <v>3.53</v>
      </c>
      <c r="J18" s="277">
        <f>IF(I18&gt;Offer_Price,0,H18-H18*I18/Offer_Price)</f>
        <v>0.699251781565502</v>
      </c>
      <c r="K18" s="50"/>
      <c r="L18" s="18"/>
      <c r="M18" s="95"/>
      <c r="N18" s="95"/>
      <c r="O18" s="95"/>
      <c r="P18" s="95"/>
      <c r="Q18" s="193"/>
    </row>
    <row r="19" spans="2:17" ht="15">
      <c r="B19" s="7" t="s">
        <v>62</v>
      </c>
      <c r="C19" s="18"/>
      <c r="D19" s="18"/>
      <c r="E19" s="262">
        <f>-H107</f>
        <v>-432.0476244284883</v>
      </c>
      <c r="F19" s="26"/>
      <c r="G19" s="80" t="s">
        <v>57</v>
      </c>
      <c r="H19" s="273">
        <v>1.974</v>
      </c>
      <c r="I19" s="271">
        <v>7.62</v>
      </c>
      <c r="J19" s="277">
        <f>IF(I19&gt;Offer_Price,0,H19-H19*I19/Offer_Price)</f>
        <v>1.6282460189531789</v>
      </c>
      <c r="K19" s="18"/>
      <c r="L19" s="18"/>
      <c r="M19" s="95"/>
      <c r="N19" s="95"/>
      <c r="O19" s="95"/>
      <c r="P19" s="95"/>
      <c r="Q19" s="193"/>
    </row>
    <row r="20" spans="2:17" ht="15">
      <c r="B20" s="7" t="s">
        <v>48</v>
      </c>
      <c r="C20" s="18"/>
      <c r="D20" s="18"/>
      <c r="E20" s="262">
        <f>H130</f>
        <v>24.229</v>
      </c>
      <c r="F20" s="26"/>
      <c r="G20" s="18" t="s">
        <v>58</v>
      </c>
      <c r="H20" s="274">
        <v>3.027</v>
      </c>
      <c r="I20" s="311">
        <v>14.29</v>
      </c>
      <c r="J20" s="278">
        <f>IF(I20&gt;Offer_Price,0,H20-H20*I20/Offer_Price)</f>
        <v>2.0327176745204385</v>
      </c>
      <c r="K20" s="77"/>
      <c r="L20" s="18"/>
      <c r="M20" s="95"/>
      <c r="N20" s="95"/>
      <c r="O20" s="95"/>
      <c r="P20" s="95"/>
      <c r="Q20" s="193"/>
    </row>
    <row r="21" spans="2:17" ht="15">
      <c r="B21" s="7" t="s">
        <v>173</v>
      </c>
      <c r="C21" s="74"/>
      <c r="D21" s="82"/>
      <c r="E21" s="208">
        <v>0</v>
      </c>
      <c r="F21" s="26"/>
      <c r="G21" s="18" t="s">
        <v>60</v>
      </c>
      <c r="H21" s="275">
        <v>2.215</v>
      </c>
      <c r="I21" s="311">
        <v>32.73</v>
      </c>
      <c r="J21" s="279">
        <f>IF(I21&gt;Offer_Price,0,H21-H21*I21/Offer_Price)</f>
        <v>0.5485787098253461</v>
      </c>
      <c r="K21" s="272"/>
      <c r="L21" s="18"/>
      <c r="M21" s="95"/>
      <c r="N21" s="95"/>
      <c r="O21" s="95"/>
      <c r="P21" s="95"/>
      <c r="Q21" s="193"/>
    </row>
    <row r="22" spans="2:17" ht="15">
      <c r="B22" s="7" t="s">
        <v>49</v>
      </c>
      <c r="C22" s="74"/>
      <c r="D22" s="82"/>
      <c r="E22" s="208">
        <v>0</v>
      </c>
      <c r="F22" s="26"/>
      <c r="G22" s="18" t="s">
        <v>176</v>
      </c>
      <c r="H22" s="274">
        <v>0.598</v>
      </c>
      <c r="I22" s="270"/>
      <c r="J22" s="278">
        <f>H22</f>
        <v>0.598</v>
      </c>
      <c r="K22" s="75"/>
      <c r="L22" s="18"/>
      <c r="M22" s="95"/>
      <c r="N22" s="95"/>
      <c r="O22" s="95"/>
      <c r="P22" s="95"/>
      <c r="Q22" s="193"/>
    </row>
    <row r="23" spans="2:17" ht="15">
      <c r="B23" s="7" t="s">
        <v>61</v>
      </c>
      <c r="C23" s="18"/>
      <c r="D23" s="18"/>
      <c r="E23" s="208">
        <v>0</v>
      </c>
      <c r="F23" s="26"/>
      <c r="G23" s="81" t="s">
        <v>59</v>
      </c>
      <c r="H23" s="280"/>
      <c r="I23" s="281"/>
      <c r="J23" s="283">
        <f>SUM(J18:J22)</f>
        <v>5.506794184864465</v>
      </c>
      <c r="K23" s="75"/>
      <c r="L23" s="18"/>
      <c r="M23" s="95"/>
      <c r="N23" s="95"/>
      <c r="O23" s="95"/>
      <c r="P23" s="95"/>
      <c r="Q23" s="193"/>
    </row>
    <row r="24" spans="2:17" ht="15">
      <c r="B24" s="136" t="s">
        <v>50</v>
      </c>
      <c r="C24" s="102"/>
      <c r="D24" s="102"/>
      <c r="E24" s="285">
        <f>SUM(E18:E23)</f>
        <v>2606.9038654112364</v>
      </c>
      <c r="F24" s="54"/>
      <c r="G24" s="19"/>
      <c r="H24" s="125"/>
      <c r="I24" s="19"/>
      <c r="J24" s="19"/>
      <c r="K24" s="282"/>
      <c r="L24" s="19"/>
      <c r="M24" s="99"/>
      <c r="N24" s="99"/>
      <c r="O24" s="99"/>
      <c r="P24" s="99"/>
      <c r="Q24" s="194"/>
    </row>
    <row r="26" spans="2:17" ht="15">
      <c r="B26" s="90" t="s">
        <v>95</v>
      </c>
      <c r="C26" s="30"/>
      <c r="D26" s="30"/>
      <c r="E26" s="30"/>
      <c r="F26" s="30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2"/>
    </row>
    <row r="27" spans="2:17" ht="15">
      <c r="B27" s="1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95"/>
      <c r="N27" s="95"/>
      <c r="O27" s="95"/>
      <c r="P27" s="95"/>
      <c r="Q27" s="193"/>
    </row>
    <row r="28" spans="2:17" ht="15">
      <c r="B28" s="1"/>
      <c r="C28" s="18"/>
      <c r="D28" s="18"/>
      <c r="E28" s="77" t="s">
        <v>182</v>
      </c>
      <c r="F28" s="77" t="s">
        <v>183</v>
      </c>
      <c r="G28" s="18"/>
      <c r="H28" s="18"/>
      <c r="I28" s="18"/>
      <c r="J28" s="18"/>
      <c r="K28" s="18"/>
      <c r="L28" s="18"/>
      <c r="M28" s="95"/>
      <c r="N28" s="95"/>
      <c r="O28" s="95"/>
      <c r="P28" s="95"/>
      <c r="Q28" s="193"/>
    </row>
    <row r="29" spans="2:17" ht="15">
      <c r="B29" s="1" t="s">
        <v>184</v>
      </c>
      <c r="C29" s="18"/>
      <c r="D29" s="18"/>
      <c r="F29" s="268">
        <f>J11</f>
        <v>1850</v>
      </c>
      <c r="H29" s="41" t="s">
        <v>132</v>
      </c>
      <c r="I29" s="4"/>
      <c r="J29" s="4"/>
      <c r="K29" s="4"/>
      <c r="M29" s="41" t="s">
        <v>133</v>
      </c>
      <c r="N29" s="149"/>
      <c r="O29" s="149"/>
      <c r="P29" s="149"/>
      <c r="Q29" s="193"/>
    </row>
    <row r="30" spans="2:17" ht="15">
      <c r="B30" s="1" t="s">
        <v>116</v>
      </c>
      <c r="C30" s="18"/>
      <c r="D30" s="18"/>
      <c r="E30" s="312">
        <v>0.13513513513513514</v>
      </c>
      <c r="F30" s="239">
        <f>E30*F$29</f>
        <v>250</v>
      </c>
      <c r="H30" s="18" t="str">
        <f>$B$30</f>
        <v>Revolver:</v>
      </c>
      <c r="I30" s="18"/>
      <c r="J30" s="18"/>
      <c r="K30" s="150">
        <v>250</v>
      </c>
      <c r="M30" s="95" t="str">
        <f>$B$30</f>
        <v>Revolver:</v>
      </c>
      <c r="N30" s="95"/>
      <c r="O30" s="95"/>
      <c r="P30" s="190" t="s">
        <v>135</v>
      </c>
      <c r="Q30" s="193"/>
    </row>
    <row r="31" spans="2:17" ht="15">
      <c r="B31" s="1" t="s">
        <v>117</v>
      </c>
      <c r="C31" s="18"/>
      <c r="D31" s="18"/>
      <c r="E31" s="312">
        <v>0.2702702702702703</v>
      </c>
      <c r="F31" s="239">
        <f>E31*F$29</f>
        <v>500</v>
      </c>
      <c r="H31" s="18" t="str">
        <f>$B$31</f>
        <v>Term Loan A:</v>
      </c>
      <c r="I31" s="18"/>
      <c r="J31" s="18"/>
      <c r="K31" s="150">
        <v>350</v>
      </c>
      <c r="M31" s="18" t="str">
        <f>$B$31</f>
        <v>Term Loan A:</v>
      </c>
      <c r="N31" s="95"/>
      <c r="O31" s="95"/>
      <c r="P31" s="106">
        <v>0.1</v>
      </c>
      <c r="Q31" s="193"/>
    </row>
    <row r="32" spans="2:17" ht="15">
      <c r="B32" s="146" t="s">
        <v>118</v>
      </c>
      <c r="C32" s="95"/>
      <c r="D32" s="95"/>
      <c r="E32" s="312">
        <v>0.2702702702702703</v>
      </c>
      <c r="F32" s="239">
        <f>E32*F$29</f>
        <v>500</v>
      </c>
      <c r="H32" s="95" t="str">
        <f>$B$32</f>
        <v>Term Loan B:</v>
      </c>
      <c r="I32" s="18"/>
      <c r="J32" s="18"/>
      <c r="K32" s="150">
        <v>500</v>
      </c>
      <c r="M32" s="18" t="str">
        <f>$B$32</f>
        <v>Term Loan B:</v>
      </c>
      <c r="N32" s="95"/>
      <c r="O32" s="95"/>
      <c r="P32" s="106">
        <v>0.05</v>
      </c>
      <c r="Q32" s="193"/>
    </row>
    <row r="33" spans="2:17" ht="15">
      <c r="B33" s="49" t="s">
        <v>134</v>
      </c>
      <c r="C33" s="19"/>
      <c r="D33" s="19"/>
      <c r="E33" s="313">
        <v>0.32432432432432434</v>
      </c>
      <c r="F33" s="250">
        <f>E33*F$29</f>
        <v>600</v>
      </c>
      <c r="G33" s="19"/>
      <c r="H33" s="19" t="str">
        <f>$B$33</f>
        <v>Subordinated Note:</v>
      </c>
      <c r="I33" s="19"/>
      <c r="J33" s="19"/>
      <c r="K33" s="151">
        <v>0.11</v>
      </c>
      <c r="L33" s="19"/>
      <c r="M33" s="19" t="str">
        <f>$B$33</f>
        <v>Subordinated Note:</v>
      </c>
      <c r="N33" s="99"/>
      <c r="O33" s="99"/>
      <c r="P33" s="107">
        <v>0</v>
      </c>
      <c r="Q33" s="194"/>
    </row>
    <row r="35" spans="2:17" ht="15">
      <c r="B35" s="90" t="s">
        <v>96</v>
      </c>
      <c r="C35" s="30"/>
      <c r="D35" s="30"/>
      <c r="E35" s="30"/>
      <c r="F35" s="30"/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32"/>
    </row>
    <row r="36" spans="2:17" ht="15">
      <c r="B36" s="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95"/>
      <c r="N36" s="18"/>
      <c r="O36" s="18"/>
      <c r="P36" s="18"/>
      <c r="Q36" s="17"/>
    </row>
    <row r="37" spans="2:17" ht="15">
      <c r="B37" s="25" t="s">
        <v>97</v>
      </c>
      <c r="C37" s="4"/>
      <c r="D37" s="4"/>
      <c r="E37" s="4"/>
      <c r="F37" s="4"/>
      <c r="G37" s="18"/>
      <c r="H37" s="41" t="s">
        <v>100</v>
      </c>
      <c r="I37" s="41"/>
      <c r="J37" s="41"/>
      <c r="K37" s="41"/>
      <c r="L37" s="4"/>
      <c r="M37" s="269"/>
      <c r="N37" s="4"/>
      <c r="O37" s="4"/>
      <c r="P37" s="18"/>
      <c r="Q37" s="17"/>
    </row>
    <row r="38" spans="2:17" ht="15">
      <c r="B38" s="1"/>
      <c r="C38" s="4"/>
      <c r="D38" s="4"/>
      <c r="E38" s="4"/>
      <c r="F38" s="53"/>
      <c r="G38" s="18"/>
      <c r="H38" s="41"/>
      <c r="I38" s="41"/>
      <c r="J38" s="41"/>
      <c r="K38" s="41"/>
      <c r="L38" s="4"/>
      <c r="M38" s="269"/>
      <c r="N38" s="4"/>
      <c r="O38" s="4"/>
      <c r="P38" s="18"/>
      <c r="Q38" s="17"/>
    </row>
    <row r="39" spans="2:17" ht="15">
      <c r="B39" s="1" t="str">
        <f>B31</f>
        <v>Term Loan A:</v>
      </c>
      <c r="C39" s="18"/>
      <c r="D39" s="18"/>
      <c r="E39" s="18"/>
      <c r="F39" s="268">
        <f>F31</f>
        <v>500</v>
      </c>
      <c r="G39" s="18"/>
      <c r="H39" s="18" t="s">
        <v>101</v>
      </c>
      <c r="I39" s="18"/>
      <c r="J39" s="18"/>
      <c r="K39" s="18"/>
      <c r="L39" s="268">
        <f>Equity_Purchase_Price</f>
        <v>3014.722489839725</v>
      </c>
      <c r="M39" s="95"/>
      <c r="N39" s="18"/>
      <c r="O39" s="18"/>
      <c r="P39" s="18"/>
      <c r="Q39" s="17"/>
    </row>
    <row r="40" spans="2:17" ht="15">
      <c r="B40" s="1" t="str">
        <f>B32</f>
        <v>Term Loan B:</v>
      </c>
      <c r="C40" s="18"/>
      <c r="D40" s="18"/>
      <c r="E40" s="18"/>
      <c r="F40" s="262">
        <f>F32</f>
        <v>500</v>
      </c>
      <c r="G40" s="18"/>
      <c r="H40" s="18" t="s">
        <v>180</v>
      </c>
      <c r="I40" s="18"/>
      <c r="J40" s="18"/>
      <c r="K40" s="18"/>
      <c r="L40" s="262">
        <f>H130</f>
        <v>24.229</v>
      </c>
      <c r="M40" s="95"/>
      <c r="N40" s="18"/>
      <c r="O40" s="18"/>
      <c r="P40" s="18"/>
      <c r="Q40" s="17"/>
    </row>
    <row r="41" spans="2:17" ht="15">
      <c r="B41" s="1" t="str">
        <f>B33</f>
        <v>Subordinated Note:</v>
      </c>
      <c r="C41" s="18"/>
      <c r="D41" s="18"/>
      <c r="E41" s="18"/>
      <c r="F41" s="262">
        <f>F33</f>
        <v>600</v>
      </c>
      <c r="G41" s="18"/>
      <c r="H41" s="18" t="s">
        <v>102</v>
      </c>
      <c r="I41" s="18"/>
      <c r="J41" s="18"/>
      <c r="K41" s="18"/>
      <c r="L41" s="262">
        <f>Equity_Purchase_Price*Advisory_Fee</f>
        <v>9.044167469519175</v>
      </c>
      <c r="M41" s="95"/>
      <c r="N41" s="18"/>
      <c r="O41" s="18"/>
      <c r="P41" s="18"/>
      <c r="Q41" s="17"/>
    </row>
    <row r="42" spans="2:17" ht="15">
      <c r="B42" s="1" t="s">
        <v>98</v>
      </c>
      <c r="C42" s="18"/>
      <c r="D42" s="18"/>
      <c r="E42" s="18"/>
      <c r="F42" s="262">
        <f>L44-SUM(F39:F41)</f>
        <v>1464.095657309244</v>
      </c>
      <c r="G42" s="18"/>
      <c r="H42" s="95" t="s">
        <v>119</v>
      </c>
      <c r="I42" s="95"/>
      <c r="J42" s="95"/>
      <c r="K42" s="95"/>
      <c r="L42" s="262">
        <f>Debt_Used*Financing_Fee</f>
        <v>11.1</v>
      </c>
      <c r="M42" s="95"/>
      <c r="N42" s="18"/>
      <c r="O42" s="18"/>
      <c r="P42" s="18"/>
      <c r="Q42" s="17"/>
    </row>
    <row r="43" spans="2:17" ht="15">
      <c r="B43" s="3" t="s">
        <v>99</v>
      </c>
      <c r="C43" s="24"/>
      <c r="D43" s="24"/>
      <c r="E43" s="24"/>
      <c r="F43" s="222">
        <f>SUM(F38:F42)</f>
        <v>3064.095657309244</v>
      </c>
      <c r="G43" s="18"/>
      <c r="H43" s="95" t="s">
        <v>131</v>
      </c>
      <c r="I43" s="18"/>
      <c r="J43" s="18"/>
      <c r="K43" s="18"/>
      <c r="L43" s="262">
        <f>O11</f>
        <v>5</v>
      </c>
      <c r="M43" s="95"/>
      <c r="N43" s="18"/>
      <c r="O43" s="18"/>
      <c r="P43" s="18"/>
      <c r="Q43" s="17"/>
    </row>
    <row r="44" spans="2:17" ht="15">
      <c r="B44" s="49"/>
      <c r="C44" s="19"/>
      <c r="D44" s="19"/>
      <c r="E44" s="19"/>
      <c r="F44" s="19"/>
      <c r="G44" s="19"/>
      <c r="H44" s="105" t="s">
        <v>103</v>
      </c>
      <c r="I44" s="105"/>
      <c r="J44" s="105"/>
      <c r="K44" s="105"/>
      <c r="L44" s="285">
        <f>SUM(L39:L43)</f>
        <v>3064.095657309244</v>
      </c>
      <c r="M44" s="99"/>
      <c r="N44" s="19"/>
      <c r="O44" s="19"/>
      <c r="P44" s="19"/>
      <c r="Q44" s="94"/>
    </row>
    <row r="46" spans="2:17" ht="15">
      <c r="B46" s="90" t="s">
        <v>70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2"/>
    </row>
    <row r="47" spans="2:17" ht="15">
      <c r="B47" s="9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18"/>
      <c r="N47" s="18"/>
      <c r="O47" s="18"/>
      <c r="P47" s="18"/>
      <c r="Q47" s="17"/>
    </row>
    <row r="48" spans="2:17" ht="15">
      <c r="B48" s="2" t="s">
        <v>71</v>
      </c>
      <c r="C48" s="45"/>
      <c r="D48" s="45"/>
      <c r="E48" s="45"/>
      <c r="F48" s="45"/>
      <c r="G48" s="45"/>
      <c r="H48" s="50" t="s">
        <v>80</v>
      </c>
      <c r="I48" s="45"/>
      <c r="J48" s="45"/>
      <c r="K48" s="45"/>
      <c r="L48" s="45"/>
      <c r="M48" s="18"/>
      <c r="N48" s="18"/>
      <c r="O48" s="18"/>
      <c r="P48" s="18"/>
      <c r="Q48" s="17"/>
    </row>
    <row r="49" spans="2:17" ht="15">
      <c r="B49" s="7" t="s">
        <v>66</v>
      </c>
      <c r="C49" s="45"/>
      <c r="D49" s="45"/>
      <c r="E49" s="45"/>
      <c r="F49" s="86">
        <f>J8</f>
        <v>3014.722489839725</v>
      </c>
      <c r="G49" s="45"/>
      <c r="H49" s="18" t="s">
        <v>81</v>
      </c>
      <c r="I49" s="45"/>
      <c r="J49" s="45"/>
      <c r="K49" s="45"/>
      <c r="L49" s="286">
        <v>0.1</v>
      </c>
      <c r="M49" s="18"/>
      <c r="N49" s="18"/>
      <c r="O49" s="18"/>
      <c r="P49" s="18"/>
      <c r="Q49" s="17"/>
    </row>
    <row r="50" spans="2:17" ht="15">
      <c r="B50" s="7" t="s">
        <v>72</v>
      </c>
      <c r="C50" s="45"/>
      <c r="D50" s="45"/>
      <c r="E50" s="45"/>
      <c r="F50" s="87">
        <f>-H145</f>
        <v>-562.0780000000001</v>
      </c>
      <c r="G50" s="45"/>
      <c r="H50" s="95" t="s">
        <v>82</v>
      </c>
      <c r="I50" s="45"/>
      <c r="J50" s="45"/>
      <c r="K50" s="45"/>
      <c r="L50" s="87">
        <f>L49*H113</f>
        <v>20.514892676269184</v>
      </c>
      <c r="M50" s="18"/>
      <c r="N50" s="18"/>
      <c r="O50" s="18"/>
      <c r="P50" s="18"/>
      <c r="Q50" s="17"/>
    </row>
    <row r="51" spans="2:17" ht="15">
      <c r="B51" s="96" t="s">
        <v>73</v>
      </c>
      <c r="C51" s="45"/>
      <c r="D51" s="45"/>
      <c r="E51" s="45"/>
      <c r="F51" s="288">
        <v>0</v>
      </c>
      <c r="G51" s="45"/>
      <c r="H51" s="95" t="s">
        <v>83</v>
      </c>
      <c r="I51" s="45"/>
      <c r="J51" s="45"/>
      <c r="K51" s="45"/>
      <c r="L51" s="208">
        <v>8</v>
      </c>
      <c r="M51" s="18"/>
      <c r="N51" s="18"/>
      <c r="O51" s="18"/>
      <c r="P51" s="18"/>
      <c r="Q51" s="17"/>
    </row>
    <row r="52" spans="2:17" ht="15">
      <c r="B52" s="11" t="s">
        <v>74</v>
      </c>
      <c r="C52" s="195"/>
      <c r="D52" s="195"/>
      <c r="E52" s="195"/>
      <c r="F52" s="287">
        <f>SUM(F49:F51)</f>
        <v>2452.644489839725</v>
      </c>
      <c r="G52" s="45"/>
      <c r="H52" s="95"/>
      <c r="I52" s="45"/>
      <c r="J52" s="45"/>
      <c r="K52" s="45"/>
      <c r="L52" s="208"/>
      <c r="M52" s="18"/>
      <c r="N52" s="18"/>
      <c r="O52" s="18"/>
      <c r="P52" s="18"/>
      <c r="Q52" s="17"/>
    </row>
    <row r="53" spans="2:17" ht="15">
      <c r="B53" s="93"/>
      <c r="C53" s="45"/>
      <c r="D53" s="45"/>
      <c r="E53" s="45"/>
      <c r="F53" s="45"/>
      <c r="G53" s="45"/>
      <c r="H53" s="50" t="s">
        <v>84</v>
      </c>
      <c r="I53" s="45"/>
      <c r="J53" s="45"/>
      <c r="K53" s="45"/>
      <c r="L53" s="45"/>
      <c r="M53" s="18"/>
      <c r="N53" s="18"/>
      <c r="O53" s="18"/>
      <c r="P53" s="18"/>
      <c r="Q53" s="17"/>
    </row>
    <row r="54" spans="2:17" ht="15">
      <c r="B54" s="7" t="s">
        <v>75</v>
      </c>
      <c r="C54" s="45"/>
      <c r="D54" s="45"/>
      <c r="E54" s="45"/>
      <c r="F54" s="86">
        <f>-L50</f>
        <v>-20.514892676269184</v>
      </c>
      <c r="G54" s="45"/>
      <c r="H54" s="18" t="s">
        <v>85</v>
      </c>
      <c r="I54" s="45"/>
      <c r="J54" s="45"/>
      <c r="K54" s="45"/>
      <c r="L54" s="87">
        <f>F52</f>
        <v>2452.644489839725</v>
      </c>
      <c r="M54" s="18"/>
      <c r="N54" s="18"/>
      <c r="O54" s="18"/>
      <c r="P54" s="18"/>
      <c r="Q54" s="17"/>
    </row>
    <row r="55" spans="2:17" ht="15">
      <c r="B55" s="7" t="s">
        <v>76</v>
      </c>
      <c r="C55" s="45"/>
      <c r="D55" s="45"/>
      <c r="E55" s="45"/>
      <c r="F55" s="87">
        <f>-L56</f>
        <v>-490.528897967945</v>
      </c>
      <c r="G55" s="45"/>
      <c r="H55" s="98" t="s">
        <v>86</v>
      </c>
      <c r="I55" s="45"/>
      <c r="J55" s="45"/>
      <c r="K55" s="45"/>
      <c r="L55" s="286">
        <v>0.2</v>
      </c>
      <c r="M55" s="18"/>
      <c r="N55" s="18"/>
      <c r="O55" s="18"/>
      <c r="P55" s="18"/>
      <c r="Q55" s="17"/>
    </row>
    <row r="56" spans="2:17" ht="15">
      <c r="B56" s="7" t="s">
        <v>77</v>
      </c>
      <c r="C56" s="18"/>
      <c r="D56" s="18"/>
      <c r="E56" s="18"/>
      <c r="F56" s="208">
        <v>0</v>
      </c>
      <c r="G56" s="45"/>
      <c r="H56" s="95" t="s">
        <v>87</v>
      </c>
      <c r="I56" s="45"/>
      <c r="J56" s="45"/>
      <c r="K56" s="45"/>
      <c r="L56" s="87">
        <f>L55*L54</f>
        <v>490.528897967945</v>
      </c>
      <c r="M56" s="18"/>
      <c r="N56" s="18"/>
      <c r="O56" s="18"/>
      <c r="P56" s="18"/>
      <c r="Q56" s="17"/>
    </row>
    <row r="57" spans="2:17" ht="15">
      <c r="B57" s="7" t="s">
        <v>78</v>
      </c>
      <c r="C57" s="45"/>
      <c r="D57" s="45"/>
      <c r="E57" s="45"/>
      <c r="F57" s="87">
        <f>L60</f>
        <v>205.71678013220483</v>
      </c>
      <c r="G57" s="45"/>
      <c r="H57" s="95" t="s">
        <v>88</v>
      </c>
      <c r="I57" s="45"/>
      <c r="J57" s="45"/>
      <c r="K57" s="45"/>
      <c r="L57" s="208">
        <v>5</v>
      </c>
      <c r="M57" s="18"/>
      <c r="N57" s="18"/>
      <c r="O57" s="18"/>
      <c r="P57" s="18"/>
      <c r="Q57" s="17"/>
    </row>
    <row r="58" spans="2:17" ht="15">
      <c r="B58" s="11" t="s">
        <v>79</v>
      </c>
      <c r="C58" s="195"/>
      <c r="D58" s="195"/>
      <c r="E58" s="195"/>
      <c r="F58" s="287">
        <f>F52+SUM(F54:F57)</f>
        <v>2147.317479327716</v>
      </c>
      <c r="G58" s="45"/>
      <c r="H58" s="95"/>
      <c r="I58" s="45"/>
      <c r="J58" s="45"/>
      <c r="K58" s="45"/>
      <c r="L58" s="208"/>
      <c r="M58" s="18"/>
      <c r="N58" s="18"/>
      <c r="O58" s="18"/>
      <c r="P58" s="18"/>
      <c r="Q58" s="17"/>
    </row>
    <row r="59" spans="2:17" ht="15">
      <c r="B59" s="1"/>
      <c r="C59" s="18"/>
      <c r="D59" s="18"/>
      <c r="E59" s="18"/>
      <c r="F59" s="18"/>
      <c r="G59" s="45"/>
      <c r="H59" s="18"/>
      <c r="I59" s="18"/>
      <c r="J59" s="18"/>
      <c r="K59" s="18"/>
      <c r="L59" s="18"/>
      <c r="M59" s="18"/>
      <c r="N59" s="18"/>
      <c r="O59" s="18"/>
      <c r="P59" s="18"/>
      <c r="Q59" s="17"/>
    </row>
    <row r="60" spans="2:17" ht="15">
      <c r="B60" s="49" t="s">
        <v>136</v>
      </c>
      <c r="C60" s="19"/>
      <c r="D60" s="19"/>
      <c r="E60" s="19"/>
      <c r="F60" s="152">
        <v>5</v>
      </c>
      <c r="G60" s="33"/>
      <c r="H60" s="99" t="s">
        <v>89</v>
      </c>
      <c r="I60" s="33"/>
      <c r="J60" s="33"/>
      <c r="K60" s="33"/>
      <c r="L60" s="295">
        <f>(PPE_Writeup+Intangibles_Writeup)*H71</f>
        <v>205.71678013220483</v>
      </c>
      <c r="M60" s="19"/>
      <c r="N60" s="19"/>
      <c r="O60" s="19"/>
      <c r="P60" s="19"/>
      <c r="Q60" s="94"/>
    </row>
    <row r="62" spans="2:17" ht="15">
      <c r="B62" s="90" t="s">
        <v>33</v>
      </c>
      <c r="C62" s="30"/>
      <c r="D62" s="30"/>
      <c r="E62" s="30"/>
      <c r="F62" s="30"/>
      <c r="G62" s="30"/>
      <c r="H62" s="31"/>
      <c r="I62" s="31"/>
      <c r="J62" s="31"/>
      <c r="K62" s="31"/>
      <c r="L62" s="31"/>
      <c r="M62" s="31"/>
      <c r="N62" s="31"/>
      <c r="O62" s="31"/>
      <c r="P62" s="31"/>
      <c r="Q62" s="32"/>
    </row>
    <row r="63" spans="2:17" ht="15">
      <c r="B63" s="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7"/>
    </row>
    <row r="64" spans="2:17" ht="15">
      <c r="B64" s="1"/>
      <c r="C64" s="18"/>
      <c r="D64" s="18"/>
      <c r="E64" s="18"/>
      <c r="F64" s="66" t="s">
        <v>39</v>
      </c>
      <c r="G64" s="67"/>
      <c r="H64" s="70"/>
      <c r="I64" s="153" t="s">
        <v>120</v>
      </c>
      <c r="J64" s="154"/>
      <c r="K64" s="155"/>
      <c r="L64" s="68" t="s">
        <v>63</v>
      </c>
      <c r="M64" s="68"/>
      <c r="N64" s="68"/>
      <c r="O64" s="68"/>
      <c r="P64" s="69"/>
      <c r="Q64" s="17"/>
    </row>
    <row r="65" spans="2:17" ht="15">
      <c r="B65" s="1"/>
      <c r="C65" s="18"/>
      <c r="D65" s="18"/>
      <c r="E65" s="18"/>
      <c r="F65" s="197">
        <f>DATE(YEAR(G65)-1,MONTH(G65),DAY(G65))</f>
        <v>39844</v>
      </c>
      <c r="G65" s="197">
        <f>DATE(YEAR(H65)-1,MONTH(H65),DAY(H65))</f>
        <v>40209</v>
      </c>
      <c r="H65" s="203">
        <f>Hist_Year</f>
        <v>40574</v>
      </c>
      <c r="I65" s="28" t="s">
        <v>121</v>
      </c>
      <c r="J65" s="28" t="s">
        <v>122</v>
      </c>
      <c r="K65" s="196">
        <f>H65</f>
        <v>40574</v>
      </c>
      <c r="L65" s="197">
        <f>DATE(YEAR(K65)+1,MONTH(K65),DAY(K65))</f>
        <v>40939</v>
      </c>
      <c r="M65" s="197">
        <f>DATE(YEAR(L65)+1,MONTH(L65),DAY(L65))</f>
        <v>41305</v>
      </c>
      <c r="N65" s="197">
        <f>DATE(YEAR(M65)+1,MONTH(M65),DAY(M65))</f>
        <v>41670</v>
      </c>
      <c r="O65" s="197">
        <f>DATE(YEAR(N65)+1,MONTH(N65),DAY(N65))</f>
        <v>42035</v>
      </c>
      <c r="P65" s="197">
        <f>DATE(YEAR(O65)+1,MONTH(O65),DAY(O65))</f>
        <v>42400</v>
      </c>
      <c r="Q65" s="83"/>
    </row>
    <row r="66" spans="2:17" ht="15">
      <c r="B66" s="1"/>
      <c r="C66" s="18"/>
      <c r="D66" s="18"/>
      <c r="E66" s="18"/>
      <c r="F66" s="18"/>
      <c r="G66" s="18"/>
      <c r="H66" s="17"/>
      <c r="I66" s="18"/>
      <c r="J66" s="18"/>
      <c r="K66" s="17"/>
      <c r="L66" s="18"/>
      <c r="M66" s="18"/>
      <c r="N66" s="18"/>
      <c r="O66" s="18"/>
      <c r="P66" s="18"/>
      <c r="Q66" s="17"/>
    </row>
    <row r="67" spans="2:17" ht="15">
      <c r="B67" s="1" t="s">
        <v>45</v>
      </c>
      <c r="C67" s="18"/>
      <c r="D67" s="18"/>
      <c r="E67" s="18"/>
      <c r="F67" s="134">
        <f>F84/E84-1</f>
        <v>0.0698624358762081</v>
      </c>
      <c r="G67" s="134">
        <f>G84/F84-1</f>
        <v>0.10509464484547992</v>
      </c>
      <c r="H67" s="215">
        <f>H84/G84-1</f>
        <v>0.12493837299640953</v>
      </c>
      <c r="I67" s="130"/>
      <c r="J67" s="130"/>
      <c r="K67" s="130"/>
      <c r="L67" s="216">
        <v>0.12</v>
      </c>
      <c r="M67" s="106">
        <v>0.11</v>
      </c>
      <c r="N67" s="106">
        <v>0.1</v>
      </c>
      <c r="O67" s="106">
        <v>0.09</v>
      </c>
      <c r="P67" s="106">
        <v>0.08</v>
      </c>
      <c r="Q67" s="131"/>
    </row>
    <row r="68" spans="2:17" ht="15">
      <c r="B68" s="1" t="s">
        <v>35</v>
      </c>
      <c r="C68" s="18"/>
      <c r="D68" s="18"/>
      <c r="E68" s="18"/>
      <c r="F68" s="134">
        <f>F85/F84</f>
        <v>0.6110401479022669</v>
      </c>
      <c r="G68" s="134">
        <f>G85/G84</f>
        <v>0.5591644582336845</v>
      </c>
      <c r="H68" s="215">
        <f>H85/H84</f>
        <v>0.5390941865705272</v>
      </c>
      <c r="I68" s="130"/>
      <c r="J68" s="130"/>
      <c r="K68" s="130"/>
      <c r="L68" s="217">
        <f>AVERAGE(F68:H68)</f>
        <v>0.5697662642354929</v>
      </c>
      <c r="M68" s="134">
        <f>L68</f>
        <v>0.5697662642354929</v>
      </c>
      <c r="N68" s="134">
        <f aca="true" t="shared" si="0" ref="N68:P71">M68</f>
        <v>0.5697662642354929</v>
      </c>
      <c r="O68" s="134">
        <f t="shared" si="0"/>
        <v>0.5697662642354929</v>
      </c>
      <c r="P68" s="134">
        <f t="shared" si="0"/>
        <v>0.5697662642354929</v>
      </c>
      <c r="Q68" s="131"/>
    </row>
    <row r="69" spans="2:17" ht="15">
      <c r="B69" s="1" t="s">
        <v>38</v>
      </c>
      <c r="C69" s="18"/>
      <c r="D69" s="18"/>
      <c r="E69" s="18"/>
      <c r="F69" s="134">
        <f>F88/F84</f>
        <v>0.28883309873456725</v>
      </c>
      <c r="G69" s="134">
        <f>G88/G84</f>
        <v>0.27229249918569975</v>
      </c>
      <c r="H69" s="215">
        <f>H88/H84</f>
        <v>0.2648715637674628</v>
      </c>
      <c r="I69" s="130"/>
      <c r="J69" s="130"/>
      <c r="K69" s="130"/>
      <c r="L69" s="217">
        <f>AVERAGE(F69:H69)</f>
        <v>0.27533238722924325</v>
      </c>
      <c r="M69" s="134">
        <f>L69</f>
        <v>0.27533238722924325</v>
      </c>
      <c r="N69" s="134">
        <f t="shared" si="0"/>
        <v>0.27533238722924325</v>
      </c>
      <c r="O69" s="134">
        <f t="shared" si="0"/>
        <v>0.27533238722924325</v>
      </c>
      <c r="P69" s="134">
        <f t="shared" si="0"/>
        <v>0.27533238722924325</v>
      </c>
      <c r="Q69" s="131"/>
    </row>
    <row r="70" spans="2:17" ht="15">
      <c r="B70" s="1" t="s">
        <v>160</v>
      </c>
      <c r="C70" s="18"/>
      <c r="D70" s="18"/>
      <c r="E70" s="18"/>
      <c r="F70" s="134">
        <f>F89/F84</f>
        <v>0.03241874829303137</v>
      </c>
      <c r="G70" s="134">
        <f>G89/G84</f>
        <v>0.03466764509436378</v>
      </c>
      <c r="H70" s="215">
        <f>H89/H84</f>
        <v>0.035376295628661535</v>
      </c>
      <c r="I70" s="130"/>
      <c r="J70" s="130"/>
      <c r="K70" s="130"/>
      <c r="L70" s="217">
        <f>AVERAGE(F70:H70)</f>
        <v>0.03415422967201889</v>
      </c>
      <c r="M70" s="134">
        <f>L70</f>
        <v>0.03415422967201889</v>
      </c>
      <c r="N70" s="134">
        <f t="shared" si="0"/>
        <v>0.03415422967201889</v>
      </c>
      <c r="O70" s="134">
        <f t="shared" si="0"/>
        <v>0.03415422967201889</v>
      </c>
      <c r="P70" s="134">
        <f t="shared" si="0"/>
        <v>0.03415422967201889</v>
      </c>
      <c r="Q70" s="131"/>
    </row>
    <row r="71" spans="2:17" ht="15">
      <c r="B71" s="1" t="s">
        <v>43</v>
      </c>
      <c r="C71" s="18"/>
      <c r="D71" s="18"/>
      <c r="E71" s="18"/>
      <c r="F71" s="134">
        <f>F97/F96</f>
        <v>0.4036365639980164</v>
      </c>
      <c r="G71" s="134">
        <f>G97/G96</f>
        <v>0.40080727813208866</v>
      </c>
      <c r="H71" s="215">
        <f>H97/H96</f>
        <v>0.40254237288135586</v>
      </c>
      <c r="I71" s="130"/>
      <c r="J71" s="130"/>
      <c r="K71" s="131"/>
      <c r="L71" s="217">
        <f>AVERAGE(F71:H71)</f>
        <v>0.4023287383371536</v>
      </c>
      <c r="M71" s="134">
        <f>L71</f>
        <v>0.4023287383371536</v>
      </c>
      <c r="N71" s="134">
        <f t="shared" si="0"/>
        <v>0.4023287383371536</v>
      </c>
      <c r="O71" s="134">
        <f t="shared" si="0"/>
        <v>0.4023287383371536</v>
      </c>
      <c r="P71" s="134">
        <f t="shared" si="0"/>
        <v>0.4023287383371536</v>
      </c>
      <c r="Q71" s="131"/>
    </row>
    <row r="72" spans="2:17" ht="15">
      <c r="B72" s="1"/>
      <c r="C72" s="18"/>
      <c r="D72" s="18"/>
      <c r="E72" s="18"/>
      <c r="F72" s="134"/>
      <c r="G72" s="134"/>
      <c r="H72" s="215"/>
      <c r="I72" s="130"/>
      <c r="J72" s="130"/>
      <c r="K72" s="131"/>
      <c r="L72" s="134"/>
      <c r="M72" s="134"/>
      <c r="N72" s="134"/>
      <c r="O72" s="134"/>
      <c r="P72" s="134"/>
      <c r="Q72" s="131"/>
    </row>
    <row r="73" spans="2:17" ht="15">
      <c r="B73" s="1" t="s">
        <v>40</v>
      </c>
      <c r="C73" s="18"/>
      <c r="D73" s="18"/>
      <c r="E73" s="18"/>
      <c r="F73" s="134">
        <f>F108/F85</f>
        <v>0.2143655298797658</v>
      </c>
      <c r="G73" s="134">
        <f>G108/G85</f>
        <v>0.21558730032808807</v>
      </c>
      <c r="H73" s="215">
        <f>H108/H85</f>
        <v>0.21497641510392695</v>
      </c>
      <c r="I73" s="130"/>
      <c r="J73" s="130"/>
      <c r="K73" s="130"/>
      <c r="L73" s="217">
        <f>AVERAGE(F73:H73)</f>
        <v>0.21497641510392693</v>
      </c>
      <c r="M73" s="134">
        <f aca="true" t="shared" si="1" ref="M73:P76">L73</f>
        <v>0.21497641510392693</v>
      </c>
      <c r="N73" s="134">
        <f t="shared" si="1"/>
        <v>0.21497641510392693</v>
      </c>
      <c r="O73" s="134">
        <f t="shared" si="1"/>
        <v>0.21497641510392693</v>
      </c>
      <c r="P73" s="134">
        <f t="shared" si="1"/>
        <v>0.21497641510392693</v>
      </c>
      <c r="Q73" s="131"/>
    </row>
    <row r="74" spans="2:17" ht="15">
      <c r="B74" s="1" t="s">
        <v>170</v>
      </c>
      <c r="C74" s="18"/>
      <c r="D74" s="18"/>
      <c r="E74" s="18"/>
      <c r="F74" s="134">
        <f>F109/F88</f>
        <v>0.14072664234019083</v>
      </c>
      <c r="G74" s="134">
        <f>G109/G88</f>
        <v>0.07209167560724151</v>
      </c>
      <c r="H74" s="215">
        <f>H109/H88</f>
        <v>0.10503690603398808</v>
      </c>
      <c r="I74" s="130"/>
      <c r="J74" s="130"/>
      <c r="K74" s="130"/>
      <c r="L74" s="217">
        <f>AVERAGE(F74:H74)</f>
        <v>0.10595174132714014</v>
      </c>
      <c r="M74" s="134">
        <f t="shared" si="1"/>
        <v>0.10595174132714014</v>
      </c>
      <c r="N74" s="134">
        <f t="shared" si="1"/>
        <v>0.10595174132714014</v>
      </c>
      <c r="O74" s="134">
        <f t="shared" si="1"/>
        <v>0.10595174132714014</v>
      </c>
      <c r="P74" s="134">
        <f t="shared" si="1"/>
        <v>0.10595174132714014</v>
      </c>
      <c r="Q74" s="131"/>
    </row>
    <row r="75" spans="2:17" ht="15">
      <c r="B75" s="1" t="s">
        <v>41</v>
      </c>
      <c r="C75" s="18"/>
      <c r="D75" s="18"/>
      <c r="E75" s="18"/>
      <c r="F75" s="134">
        <f>F125/F85</f>
        <v>0.13720636252259188</v>
      </c>
      <c r="G75" s="134">
        <f>G125/G85</f>
        <v>0.1447588070966755</v>
      </c>
      <c r="H75" s="215">
        <f>H125/H85</f>
        <v>0.1409825848096337</v>
      </c>
      <c r="I75" s="130"/>
      <c r="J75" s="130"/>
      <c r="K75" s="130"/>
      <c r="L75" s="217">
        <f>AVERAGE(F75:H75)</f>
        <v>0.1409825848096337</v>
      </c>
      <c r="M75" s="134">
        <f t="shared" si="1"/>
        <v>0.1409825848096337</v>
      </c>
      <c r="N75" s="134">
        <f t="shared" si="1"/>
        <v>0.1409825848096337</v>
      </c>
      <c r="O75" s="134">
        <f t="shared" si="1"/>
        <v>0.1409825848096337</v>
      </c>
      <c r="P75" s="134">
        <f t="shared" si="1"/>
        <v>0.1409825848096337</v>
      </c>
      <c r="Q75" s="131"/>
    </row>
    <row r="76" spans="2:17" ht="15">
      <c r="B76" s="1" t="s">
        <v>171</v>
      </c>
      <c r="C76" s="18"/>
      <c r="D76" s="18"/>
      <c r="E76" s="18"/>
      <c r="F76" s="134">
        <f>F126/F88</f>
        <v>0.21321145849749665</v>
      </c>
      <c r="G76" s="134">
        <f>G126/G88</f>
        <v>0.25043694392921395</v>
      </c>
      <c r="H76" s="215">
        <f>H126/H88</f>
        <v>0.22927681858548105</v>
      </c>
      <c r="I76" s="130"/>
      <c r="J76" s="130"/>
      <c r="K76" s="130"/>
      <c r="L76" s="217">
        <f>AVERAGE(F76:H76)</f>
        <v>0.23097507367073056</v>
      </c>
      <c r="M76" s="134">
        <f t="shared" si="1"/>
        <v>0.23097507367073056</v>
      </c>
      <c r="N76" s="134">
        <f t="shared" si="1"/>
        <v>0.23097507367073056</v>
      </c>
      <c r="O76" s="134">
        <f t="shared" si="1"/>
        <v>0.23097507367073056</v>
      </c>
      <c r="P76" s="134">
        <f t="shared" si="1"/>
        <v>0.23097507367073056</v>
      </c>
      <c r="Q76" s="131"/>
    </row>
    <row r="77" spans="2:17" ht="15">
      <c r="B77" s="1"/>
      <c r="C77" s="18"/>
      <c r="D77" s="18"/>
      <c r="E77" s="18"/>
      <c r="F77" s="88"/>
      <c r="G77" s="88"/>
      <c r="H77" s="89"/>
      <c r="I77" s="130"/>
      <c r="J77" s="130"/>
      <c r="K77" s="130"/>
      <c r="L77" s="217"/>
      <c r="M77" s="134"/>
      <c r="N77" s="134"/>
      <c r="O77" s="134"/>
      <c r="P77" s="134"/>
      <c r="Q77" s="131"/>
    </row>
    <row r="78" spans="2:17" ht="15">
      <c r="B78" s="49" t="s">
        <v>42</v>
      </c>
      <c r="C78" s="19"/>
      <c r="D78" s="19"/>
      <c r="E78" s="19"/>
      <c r="F78" s="219">
        <v>0.054291056534801145</v>
      </c>
      <c r="G78" s="219">
        <v>0.02832941075079117</v>
      </c>
      <c r="H78" s="256">
        <v>0.04131023364279616</v>
      </c>
      <c r="I78" s="132"/>
      <c r="J78" s="132"/>
      <c r="K78" s="132"/>
      <c r="L78" s="218">
        <f>AVERAGE(F78:H78)</f>
        <v>0.04131023364279616</v>
      </c>
      <c r="M78" s="219">
        <f>L78</f>
        <v>0.04131023364279616</v>
      </c>
      <c r="N78" s="219">
        <f>M78</f>
        <v>0.04131023364279616</v>
      </c>
      <c r="O78" s="219">
        <f>N78</f>
        <v>0.04131023364279616</v>
      </c>
      <c r="P78" s="219">
        <f>O78</f>
        <v>0.04131023364279616</v>
      </c>
      <c r="Q78" s="133"/>
    </row>
    <row r="80" spans="2:17" ht="15">
      <c r="B80" s="90" t="s">
        <v>11</v>
      </c>
      <c r="C80" s="30"/>
      <c r="D80" s="30"/>
      <c r="E80" s="30"/>
      <c r="F80" s="30"/>
      <c r="G80" s="30"/>
      <c r="H80" s="31"/>
      <c r="I80" s="31"/>
      <c r="J80" s="31"/>
      <c r="K80" s="31"/>
      <c r="L80" s="31"/>
      <c r="M80" s="31"/>
      <c r="N80" s="31"/>
      <c r="O80" s="31"/>
      <c r="P80" s="31"/>
      <c r="Q80" s="32"/>
    </row>
    <row r="81" spans="2:17" ht="15">
      <c r="B81" s="1"/>
      <c r="C81" s="18"/>
      <c r="F81" s="158" t="str">
        <f>$F$64</f>
        <v>Historical</v>
      </c>
      <c r="G81" s="156"/>
      <c r="H81" s="157"/>
      <c r="I81" s="202" t="str">
        <f>$I$64</f>
        <v>Transaction Adjustments</v>
      </c>
      <c r="J81" s="158"/>
      <c r="K81" s="158"/>
      <c r="L81" s="207" t="str">
        <f>$L$64</f>
        <v>Projected</v>
      </c>
      <c r="M81" s="158"/>
      <c r="N81" s="158"/>
      <c r="O81" s="158"/>
      <c r="P81" s="158"/>
      <c r="Q81" s="204"/>
    </row>
    <row r="82" spans="2:17" ht="15">
      <c r="B82" s="1"/>
      <c r="C82" s="18"/>
      <c r="F82" s="197">
        <f>$F$65</f>
        <v>39844</v>
      </c>
      <c r="G82" s="197">
        <f>$G$65</f>
        <v>40209</v>
      </c>
      <c r="H82" s="203">
        <f>$H$65</f>
        <v>40574</v>
      </c>
      <c r="I82" s="28" t="str">
        <f>$I$65</f>
        <v>Debit</v>
      </c>
      <c r="J82" s="28" t="str">
        <f>$J$65</f>
        <v>Credit</v>
      </c>
      <c r="K82" s="196">
        <f>$K$65</f>
        <v>40574</v>
      </c>
      <c r="L82" s="201">
        <f>$L$65</f>
        <v>40939</v>
      </c>
      <c r="M82" s="197">
        <f>$M$65</f>
        <v>41305</v>
      </c>
      <c r="N82" s="197">
        <f>$N$65</f>
        <v>41670</v>
      </c>
      <c r="O82" s="197">
        <f>$O$65</f>
        <v>42035</v>
      </c>
      <c r="P82" s="197">
        <f>$P$65</f>
        <v>42400</v>
      </c>
      <c r="Q82" s="83"/>
    </row>
    <row r="83" spans="2:17" ht="15">
      <c r="B83" s="1"/>
      <c r="C83" s="18"/>
      <c r="H83" s="22"/>
      <c r="I83" s="159"/>
      <c r="J83" s="159"/>
      <c r="K83" s="159"/>
      <c r="L83" s="1"/>
      <c r="P83" s="159"/>
      <c r="Q83" s="22"/>
    </row>
    <row r="84" spans="2:17" ht="15">
      <c r="B84" s="2" t="s">
        <v>36</v>
      </c>
      <c r="E84" s="220">
        <v>1334.723</v>
      </c>
      <c r="F84" s="205">
        <v>1427.97</v>
      </c>
      <c r="G84" s="205">
        <v>1578.042</v>
      </c>
      <c r="H84" s="206">
        <v>1775.2</v>
      </c>
      <c r="I84" s="34"/>
      <c r="J84" s="34"/>
      <c r="K84" s="34"/>
      <c r="L84" s="236">
        <f>H84*(1+L67)</f>
        <v>1988.2240000000002</v>
      </c>
      <c r="M84" s="237">
        <f>L84*(1+M67)</f>
        <v>2206.9286400000005</v>
      </c>
      <c r="N84" s="237">
        <f>M84*(1+N67)</f>
        <v>2427.6215040000006</v>
      </c>
      <c r="O84" s="237">
        <f>N84*(1+O67)</f>
        <v>2646.107439360001</v>
      </c>
      <c r="P84" s="237">
        <f>O84*(1+P67)</f>
        <v>2857.7960345088013</v>
      </c>
      <c r="Q84" s="58"/>
    </row>
    <row r="85" spans="2:17" ht="15">
      <c r="B85" s="1" t="s">
        <v>37</v>
      </c>
      <c r="F85" s="208">
        <v>872.547</v>
      </c>
      <c r="G85" s="208">
        <v>882.385</v>
      </c>
      <c r="H85" s="97">
        <v>957</v>
      </c>
      <c r="I85" s="26"/>
      <c r="J85" s="26"/>
      <c r="K85" s="26"/>
      <c r="L85" s="238">
        <f>L84*L68</f>
        <v>1132.8229609433488</v>
      </c>
      <c r="M85" s="239">
        <f>M84*M68</f>
        <v>1257.4334866471174</v>
      </c>
      <c r="N85" s="239">
        <f>N84*N68</f>
        <v>1383.176835311829</v>
      </c>
      <c r="O85" s="239">
        <f>O84*O68</f>
        <v>1507.662750489894</v>
      </c>
      <c r="P85" s="239">
        <f>P84*P68</f>
        <v>1628.2757705290855</v>
      </c>
      <c r="Q85" s="57"/>
    </row>
    <row r="86" spans="2:17" ht="15">
      <c r="B86" s="9" t="s">
        <v>0</v>
      </c>
      <c r="F86" s="210">
        <f>F84-F85</f>
        <v>555.423</v>
      </c>
      <c r="G86" s="210">
        <f>G84-G85</f>
        <v>695.6569999999999</v>
      </c>
      <c r="H86" s="211">
        <f>H84-H85</f>
        <v>818.2</v>
      </c>
      <c r="I86" s="21"/>
      <c r="J86" s="21"/>
      <c r="K86" s="21"/>
      <c r="L86" s="240">
        <f>L84-L85</f>
        <v>855.4010390566514</v>
      </c>
      <c r="M86" s="210">
        <f>M84-M85</f>
        <v>949.4951533528831</v>
      </c>
      <c r="N86" s="210">
        <f>N84-N85</f>
        <v>1044.4446686881715</v>
      </c>
      <c r="O86" s="210">
        <f>O84-O85</f>
        <v>1138.444688870107</v>
      </c>
      <c r="P86" s="210">
        <f>P84-P85</f>
        <v>1229.5202639797158</v>
      </c>
      <c r="Q86" s="13"/>
    </row>
    <row r="87" spans="2:17" ht="15">
      <c r="B87" s="9"/>
      <c r="F87" s="21"/>
      <c r="G87" s="21"/>
      <c r="H87" s="13"/>
      <c r="I87" s="21"/>
      <c r="J87" s="21"/>
      <c r="K87" s="21"/>
      <c r="L87" s="72"/>
      <c r="M87" s="21"/>
      <c r="N87" s="21"/>
      <c r="O87" s="21"/>
      <c r="P87" s="21"/>
      <c r="Q87" s="13"/>
    </row>
    <row r="88" spans="2:17" ht="15">
      <c r="B88" s="43" t="s">
        <v>172</v>
      </c>
      <c r="F88" s="208">
        <f>404.04+8.405</f>
        <v>412.445</v>
      </c>
      <c r="G88" s="208">
        <f>416.919+12.77</f>
        <v>429.68899999999996</v>
      </c>
      <c r="H88" s="97">
        <f>453.2+17</f>
        <v>470.2</v>
      </c>
      <c r="I88" s="21"/>
      <c r="J88" s="21"/>
      <c r="K88" s="21"/>
      <c r="L88" s="241">
        <f>L84*L69</f>
        <v>547.422460266475</v>
      </c>
      <c r="M88" s="242">
        <f>M84*M69</f>
        <v>607.6389308957873</v>
      </c>
      <c r="N88" s="242">
        <f>N84*N69</f>
        <v>668.402823985366</v>
      </c>
      <c r="O88" s="242">
        <f>O84*O69</f>
        <v>728.5590781440491</v>
      </c>
      <c r="P88" s="242">
        <f>P84*P69</f>
        <v>786.8438043955731</v>
      </c>
      <c r="Q88" s="13"/>
    </row>
    <row r="89" spans="2:17" ht="15">
      <c r="B89" s="8" t="s">
        <v>159</v>
      </c>
      <c r="F89" s="208">
        <v>46.293</v>
      </c>
      <c r="G89" s="208">
        <v>54.707</v>
      </c>
      <c r="H89" s="97">
        <v>62.799999999999955</v>
      </c>
      <c r="I89" s="21"/>
      <c r="J89" s="21"/>
      <c r="K89" s="21"/>
      <c r="L89" s="241">
        <f>L84*L70</f>
        <v>67.9062591354201</v>
      </c>
      <c r="M89" s="242">
        <f>M84*M70</f>
        <v>75.37594764031633</v>
      </c>
      <c r="N89" s="242">
        <f>N84*N70</f>
        <v>82.91354240434795</v>
      </c>
      <c r="O89" s="242">
        <f>O84*O70</f>
        <v>90.37576122073928</v>
      </c>
      <c r="P89" s="242">
        <f>P84*P70</f>
        <v>97.60582211839844</v>
      </c>
      <c r="Q89" s="13"/>
    </row>
    <row r="90" spans="2:17" ht="15">
      <c r="B90" s="100" t="s">
        <v>123</v>
      </c>
      <c r="C90" s="24"/>
      <c r="D90" s="24"/>
      <c r="E90" s="24"/>
      <c r="F90" s="230">
        <v>0</v>
      </c>
      <c r="G90" s="230">
        <v>0</v>
      </c>
      <c r="H90" s="231">
        <v>0</v>
      </c>
      <c r="I90" s="160"/>
      <c r="J90" s="160"/>
      <c r="K90" s="160"/>
      <c r="L90" s="309">
        <f>PPE_Writeup/PPE_Writeup_Period</f>
        <v>2.564361584533648</v>
      </c>
      <c r="M90" s="248">
        <f>PPE_Writeup/PPE_Writeup_Period</f>
        <v>2.564361584533648</v>
      </c>
      <c r="N90" s="248">
        <f>PPE_Writeup/PPE_Writeup_Period</f>
        <v>2.564361584533648</v>
      </c>
      <c r="O90" s="248">
        <f>PPE_Writeup/PPE_Writeup_Period</f>
        <v>2.564361584533648</v>
      </c>
      <c r="P90" s="248">
        <f>PPE_Writeup/PPE_Writeup_Period</f>
        <v>2.564361584533648</v>
      </c>
      <c r="Q90" s="13"/>
    </row>
    <row r="91" spans="2:17" ht="15">
      <c r="B91" s="7" t="s">
        <v>124</v>
      </c>
      <c r="C91" s="18"/>
      <c r="D91" s="18"/>
      <c r="E91" s="18"/>
      <c r="F91" s="208">
        <v>0</v>
      </c>
      <c r="G91" s="208">
        <v>0</v>
      </c>
      <c r="H91" s="97">
        <v>0</v>
      </c>
      <c r="I91" s="26"/>
      <c r="J91" s="26"/>
      <c r="K91" s="26"/>
      <c r="L91" s="241">
        <f>Intangibles_Writeup/$L$57</f>
        <v>98.105779593589</v>
      </c>
      <c r="M91" s="239">
        <f>Intangibles_Writeup/$L$57</f>
        <v>98.105779593589</v>
      </c>
      <c r="N91" s="239">
        <f>Intangibles_Writeup/$L$57</f>
        <v>98.105779593589</v>
      </c>
      <c r="O91" s="239">
        <f>Intangibles_Writeup/$L$57</f>
        <v>98.105779593589</v>
      </c>
      <c r="P91" s="239">
        <f>Intangibles_Writeup/$L$57</f>
        <v>98.105779593589</v>
      </c>
      <c r="Q91" s="13"/>
    </row>
    <row r="92" spans="2:17" ht="15">
      <c r="B92" s="101" t="s">
        <v>125</v>
      </c>
      <c r="C92" s="19"/>
      <c r="D92" s="19"/>
      <c r="E92" s="19"/>
      <c r="F92" s="208">
        <v>0</v>
      </c>
      <c r="G92" s="208">
        <v>0</v>
      </c>
      <c r="H92" s="97">
        <v>0</v>
      </c>
      <c r="I92" s="162"/>
      <c r="J92" s="162"/>
      <c r="K92" s="162"/>
      <c r="L92" s="241">
        <f>$L$42/$F$60</f>
        <v>2.2199999999999998</v>
      </c>
      <c r="M92" s="250">
        <f>$L$42/$F$60</f>
        <v>2.2199999999999998</v>
      </c>
      <c r="N92" s="250">
        <f>$L$42/$F$60</f>
        <v>2.2199999999999998</v>
      </c>
      <c r="O92" s="250">
        <f>$L$42/$F$60</f>
        <v>2.2199999999999998</v>
      </c>
      <c r="P92" s="250">
        <f>$L$42/$F$60</f>
        <v>2.2199999999999998</v>
      </c>
      <c r="Q92" s="13"/>
    </row>
    <row r="93" spans="2:17" ht="15">
      <c r="B93" s="214" t="s">
        <v>1</v>
      </c>
      <c r="C93" s="24"/>
      <c r="D93" s="24"/>
      <c r="E93" s="24"/>
      <c r="F93" s="212">
        <f>F86-SUM(F88:F92)</f>
        <v>96.685</v>
      </c>
      <c r="G93" s="212">
        <f>G86-SUM(G88:G92)</f>
        <v>211.26099999999997</v>
      </c>
      <c r="H93" s="213">
        <f>H86-SUM(H88:H92)</f>
        <v>285.20000000000005</v>
      </c>
      <c r="I93" s="44"/>
      <c r="J93" s="44"/>
      <c r="K93" s="44"/>
      <c r="L93" s="243">
        <f>L86-SUM(L88:L92)</f>
        <v>137.18217847663357</v>
      </c>
      <c r="M93" s="212">
        <f>M86-SUM(M88:M92)</f>
        <v>163.59013363865677</v>
      </c>
      <c r="N93" s="212">
        <f>N86-SUM(N88:N92)</f>
        <v>190.2381611203349</v>
      </c>
      <c r="O93" s="212">
        <f>O86-SUM(O88:O92)</f>
        <v>216.619708327196</v>
      </c>
      <c r="P93" s="212">
        <f>P86-SUM(P88:P92)</f>
        <v>242.1804962876215</v>
      </c>
      <c r="Q93" s="13"/>
    </row>
    <row r="94" spans="2:17" ht="15">
      <c r="B94" s="9"/>
      <c r="F94" s="21"/>
      <c r="G94" s="21"/>
      <c r="H94" s="13"/>
      <c r="I94" s="21"/>
      <c r="J94" s="21"/>
      <c r="K94" s="21"/>
      <c r="L94" s="72"/>
      <c r="M94" s="21"/>
      <c r="N94" s="21"/>
      <c r="O94" s="21"/>
      <c r="P94" s="21"/>
      <c r="Q94" s="13"/>
    </row>
    <row r="95" spans="2:17" ht="15">
      <c r="B95" s="8" t="s">
        <v>69</v>
      </c>
      <c r="F95" s="208">
        <v>-5.94</v>
      </c>
      <c r="G95" s="208">
        <v>-5.384</v>
      </c>
      <c r="H95" s="97">
        <v>-2</v>
      </c>
      <c r="I95" s="16"/>
      <c r="J95" s="16"/>
      <c r="K95" s="16"/>
      <c r="L95" s="241">
        <f>L202</f>
        <v>-101.2951639263956</v>
      </c>
      <c r="M95" s="242">
        <f>M202</f>
        <v>-89.21394733495671</v>
      </c>
      <c r="N95" s="242">
        <f>N202</f>
        <v>-82.62992434583226</v>
      </c>
      <c r="O95" s="242">
        <f>O202</f>
        <v>-74.453724333342</v>
      </c>
      <c r="P95" s="242">
        <f>P202</f>
        <v>-66.09210925827583</v>
      </c>
      <c r="Q95" s="63"/>
    </row>
    <row r="96" spans="2:17" ht="15">
      <c r="B96" s="214" t="s">
        <v>2</v>
      </c>
      <c r="C96" s="24"/>
      <c r="D96" s="24"/>
      <c r="E96" s="24"/>
      <c r="F96" s="212">
        <f>F93+F95</f>
        <v>90.745</v>
      </c>
      <c r="G96" s="212">
        <f>G93+G95</f>
        <v>205.87699999999995</v>
      </c>
      <c r="H96" s="213">
        <f>H93+H95</f>
        <v>283.20000000000005</v>
      </c>
      <c r="I96" s="44"/>
      <c r="J96" s="44"/>
      <c r="K96" s="44"/>
      <c r="L96" s="243">
        <f>L93+L95</f>
        <v>35.887014550237964</v>
      </c>
      <c r="M96" s="212">
        <f>M93+M95</f>
        <v>74.37618630370005</v>
      </c>
      <c r="N96" s="212">
        <f>N93+N95</f>
        <v>107.60823677450263</v>
      </c>
      <c r="O96" s="212">
        <f>O93+O95</f>
        <v>142.165983993854</v>
      </c>
      <c r="P96" s="212">
        <f>P93+P95</f>
        <v>176.08838702934568</v>
      </c>
      <c r="Q96" s="13"/>
    </row>
    <row r="97" spans="2:17" ht="15">
      <c r="B97" s="8" t="s">
        <v>3</v>
      </c>
      <c r="F97" s="208">
        <v>36.628</v>
      </c>
      <c r="G97" s="208">
        <v>82.517</v>
      </c>
      <c r="H97" s="97">
        <v>114</v>
      </c>
      <c r="I97" s="26"/>
      <c r="J97" s="26"/>
      <c r="K97" s="26"/>
      <c r="L97" s="241">
        <f>L96*L71</f>
        <v>14.438377286684315</v>
      </c>
      <c r="M97" s="242">
        <f>M96*M71</f>
        <v>29.923677197896726</v>
      </c>
      <c r="N97" s="242">
        <f>N96*N71</f>
        <v>43.29388613617134</v>
      </c>
      <c r="O97" s="242">
        <f>O96*O71</f>
        <v>57.197460974707255</v>
      </c>
      <c r="P97" s="242">
        <f>P96*P71</f>
        <v>70.84541858934105</v>
      </c>
      <c r="Q97" s="63"/>
    </row>
    <row r="98" spans="2:17" ht="15">
      <c r="B98" s="7"/>
      <c r="F98" s="18"/>
      <c r="G98" s="18"/>
      <c r="H98" s="17"/>
      <c r="I98" s="18"/>
      <c r="J98" s="18"/>
      <c r="K98" s="18"/>
      <c r="L98" s="1"/>
      <c r="M98" s="18"/>
      <c r="N98" s="18"/>
      <c r="O98" s="18"/>
      <c r="P98" s="18"/>
      <c r="Q98" s="17"/>
    </row>
    <row r="99" spans="2:17" ht="15">
      <c r="B99" s="10" t="s">
        <v>8</v>
      </c>
      <c r="F99" s="210">
        <f>F96-F97</f>
        <v>54.117000000000004</v>
      </c>
      <c r="G99" s="210">
        <f>G96-G97</f>
        <v>123.35999999999996</v>
      </c>
      <c r="H99" s="211">
        <f>H96-H97</f>
        <v>169.20000000000005</v>
      </c>
      <c r="I99" s="21"/>
      <c r="J99" s="21"/>
      <c r="K99" s="21"/>
      <c r="L99" s="240">
        <f>L96-L97</f>
        <v>21.44863726355365</v>
      </c>
      <c r="M99" s="210">
        <f>M96-M97</f>
        <v>44.45250910580333</v>
      </c>
      <c r="N99" s="210">
        <f>N96-N97</f>
        <v>64.31435063833129</v>
      </c>
      <c r="O99" s="210">
        <f>O96-O97</f>
        <v>84.96852301914676</v>
      </c>
      <c r="P99" s="210">
        <f>P96-P97</f>
        <v>105.24296844000463</v>
      </c>
      <c r="Q99" s="13"/>
    </row>
    <row r="100" spans="2:17" ht="15">
      <c r="B100" s="126" t="s">
        <v>46</v>
      </c>
      <c r="C100" s="33"/>
      <c r="D100" s="33"/>
      <c r="E100" s="19"/>
      <c r="F100" s="233">
        <f>F93+F92+F91+F90+F89</f>
        <v>142.978</v>
      </c>
      <c r="G100" s="233">
        <f>G93+G92+G91+G90+G89</f>
        <v>265.96799999999996</v>
      </c>
      <c r="H100" s="235">
        <f>H93+H92+H91+H90+H89</f>
        <v>348</v>
      </c>
      <c r="I100" s="54"/>
      <c r="J100" s="54"/>
      <c r="K100" s="54"/>
      <c r="L100" s="244">
        <f>L93+L92+L91+L90+L89</f>
        <v>307.97857879017636</v>
      </c>
      <c r="M100" s="233">
        <f>M93+M92+M91+M90+M89</f>
        <v>341.8562224570957</v>
      </c>
      <c r="N100" s="233">
        <f>N93+N92+N91+N90+N89</f>
        <v>376.04184470280546</v>
      </c>
      <c r="O100" s="233">
        <f>O93+O92+O91+O90+O89</f>
        <v>409.8856107260579</v>
      </c>
      <c r="P100" s="233">
        <f>P93+P92+P91+P90+P89</f>
        <v>442.67645958414255</v>
      </c>
      <c r="Q100" s="65"/>
    </row>
    <row r="102" spans="2:17" ht="15">
      <c r="B102" s="90" t="s">
        <v>12</v>
      </c>
      <c r="C102" s="30"/>
      <c r="D102" s="30"/>
      <c r="E102" s="30"/>
      <c r="F102" s="30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2"/>
    </row>
    <row r="103" spans="2:17" ht="15">
      <c r="B103" s="1"/>
      <c r="C103" s="18"/>
      <c r="D103" s="18"/>
      <c r="E103" s="52"/>
      <c r="F103" s="158" t="str">
        <f>$F$64</f>
        <v>Historical</v>
      </c>
      <c r="G103" s="156"/>
      <c r="H103" s="156"/>
      <c r="I103" s="319" t="str">
        <f>$I$64</f>
        <v>Transaction Adjustments</v>
      </c>
      <c r="J103" s="158"/>
      <c r="K103" s="331"/>
      <c r="L103" s="158" t="str">
        <f>$L$64</f>
        <v>Projected</v>
      </c>
      <c r="M103" s="158"/>
      <c r="N103" s="158"/>
      <c r="O103" s="158"/>
      <c r="P103" s="158"/>
      <c r="Q103" s="198"/>
    </row>
    <row r="104" spans="2:17" ht="15">
      <c r="B104" s="1"/>
      <c r="C104" s="18"/>
      <c r="D104" s="18"/>
      <c r="E104" s="52"/>
      <c r="F104" s="197">
        <f>$F$65</f>
        <v>39844</v>
      </c>
      <c r="G104" s="197">
        <f>$G$65</f>
        <v>40209</v>
      </c>
      <c r="H104" s="197">
        <f>$H$65</f>
        <v>40574</v>
      </c>
      <c r="I104" s="200" t="str">
        <f>$I$65</f>
        <v>Debit</v>
      </c>
      <c r="J104" s="183" t="str">
        <f>$J$65</f>
        <v>Credit</v>
      </c>
      <c r="K104" s="196">
        <f>$K$65</f>
        <v>40574</v>
      </c>
      <c r="L104" s="197">
        <f>$L$65</f>
        <v>40939</v>
      </c>
      <c r="M104" s="197">
        <f>$M$65</f>
        <v>41305</v>
      </c>
      <c r="N104" s="197">
        <f>$N$65</f>
        <v>41670</v>
      </c>
      <c r="O104" s="197">
        <f>$O$65</f>
        <v>42035</v>
      </c>
      <c r="P104" s="197">
        <f>$P$65</f>
        <v>42400</v>
      </c>
      <c r="Q104" s="199"/>
    </row>
    <row r="105" spans="2:17" ht="15">
      <c r="B105" s="25" t="s">
        <v>15</v>
      </c>
      <c r="C105" s="4"/>
      <c r="D105" s="4"/>
      <c r="E105" s="47"/>
      <c r="F105" s="47"/>
      <c r="G105" s="47"/>
      <c r="H105" s="47"/>
      <c r="I105" s="320"/>
      <c r="J105" s="47"/>
      <c r="K105" s="55"/>
      <c r="L105" s="18"/>
      <c r="P105" s="18"/>
      <c r="Q105" s="17"/>
    </row>
    <row r="106" spans="2:17" ht="15">
      <c r="B106" s="2" t="s">
        <v>4</v>
      </c>
      <c r="C106" s="34"/>
      <c r="D106" s="34"/>
      <c r="E106" s="34"/>
      <c r="G106" s="34"/>
      <c r="H106" s="34"/>
      <c r="I106" s="321"/>
      <c r="J106" s="34"/>
      <c r="K106" s="56"/>
      <c r="L106" s="18"/>
      <c r="P106" s="18"/>
      <c r="Q106" s="17"/>
    </row>
    <row r="107" spans="2:17" ht="15">
      <c r="B107" s="7" t="s">
        <v>9</v>
      </c>
      <c r="C107" s="26"/>
      <c r="D107" s="26"/>
      <c r="E107" s="46"/>
      <c r="F107" s="221">
        <v>146.42999999999998</v>
      </c>
      <c r="G107" s="221">
        <v>298.10699999999986</v>
      </c>
      <c r="H107" s="221">
        <v>432.0476244284883</v>
      </c>
      <c r="I107" s="322">
        <v>0</v>
      </c>
      <c r="J107" s="221">
        <v>0</v>
      </c>
      <c r="K107" s="260">
        <f>H107+I107-J107</f>
        <v>432.0476244284883</v>
      </c>
      <c r="L107" s="259">
        <f>L182</f>
        <v>50.00000000001046</v>
      </c>
      <c r="M107" s="259">
        <f>M182</f>
        <v>50.00000000110049</v>
      </c>
      <c r="N107" s="259">
        <f>N182</f>
        <v>50.00000000952994</v>
      </c>
      <c r="O107" s="259">
        <f>O182</f>
        <v>49.99999187291104</v>
      </c>
      <c r="P107" s="259">
        <f>P182</f>
        <v>170.43266543492652</v>
      </c>
      <c r="Q107" s="57"/>
    </row>
    <row r="108" spans="2:17" ht="15">
      <c r="B108" s="7" t="s">
        <v>161</v>
      </c>
      <c r="C108" s="21"/>
      <c r="D108" s="15"/>
      <c r="E108" s="46"/>
      <c r="F108" s="208">
        <v>187.044</v>
      </c>
      <c r="G108" s="208">
        <v>190.231</v>
      </c>
      <c r="H108" s="208">
        <v>205.73242925445808</v>
      </c>
      <c r="I108" s="293">
        <v>0</v>
      </c>
      <c r="J108" s="208">
        <v>0</v>
      </c>
      <c r="K108" s="247">
        <f>H108+I108-J108</f>
        <v>205.73242925445808</v>
      </c>
      <c r="L108" s="239">
        <f>L85*L73</f>
        <v>243.53021909101696</v>
      </c>
      <c r="M108" s="239">
        <f>M85*M73</f>
        <v>270.3185431910289</v>
      </c>
      <c r="N108" s="239">
        <f>N85*N73</f>
        <v>297.35039751013176</v>
      </c>
      <c r="O108" s="239">
        <f>O85*O73</f>
        <v>324.11193328604367</v>
      </c>
      <c r="P108" s="239">
        <f>P85*P73</f>
        <v>350.04088794892715</v>
      </c>
      <c r="Q108" s="57"/>
    </row>
    <row r="109" spans="2:17" ht="15">
      <c r="B109" s="7" t="s">
        <v>162</v>
      </c>
      <c r="C109" s="18"/>
      <c r="D109" s="18"/>
      <c r="E109" s="46"/>
      <c r="F109" s="208">
        <v>58.042</v>
      </c>
      <c r="G109" s="208">
        <v>30.976999999999997</v>
      </c>
      <c r="H109" s="208">
        <v>49.38835321718119</v>
      </c>
      <c r="I109" s="293">
        <v>0</v>
      </c>
      <c r="J109" s="208">
        <v>0</v>
      </c>
      <c r="K109" s="247">
        <f>H109+I109-J109</f>
        <v>49.38835321718119</v>
      </c>
      <c r="L109" s="239">
        <f>L88*L74</f>
        <v>58.00036290682021</v>
      </c>
      <c r="M109" s="239">
        <f>M88*M74</f>
        <v>64.38040282657045</v>
      </c>
      <c r="N109" s="239">
        <f>N88*N74</f>
        <v>70.81844310922747</v>
      </c>
      <c r="O109" s="239">
        <f>O88*O74</f>
        <v>77.19210298905796</v>
      </c>
      <c r="P109" s="239">
        <f>P88*P74</f>
        <v>83.36747122818261</v>
      </c>
      <c r="Q109" s="57"/>
    </row>
    <row r="110" spans="2:17" ht="15">
      <c r="B110" s="3" t="s">
        <v>5</v>
      </c>
      <c r="C110" s="6"/>
      <c r="D110" s="35"/>
      <c r="E110" s="20"/>
      <c r="F110" s="212">
        <f>SUM(F107:F109)</f>
        <v>391.51599999999996</v>
      </c>
      <c r="G110" s="212">
        <f>SUM(G107:G109)</f>
        <v>519.3149999999998</v>
      </c>
      <c r="H110" s="212">
        <f>SUM(H107:H109)</f>
        <v>687.1684069001276</v>
      </c>
      <c r="I110" s="323"/>
      <c r="J110" s="20"/>
      <c r="K110" s="253">
        <f aca="true" t="shared" si="2" ref="K110:P110">SUM(K107:K109)</f>
        <v>687.1684069001276</v>
      </c>
      <c r="L110" s="252">
        <f t="shared" si="2"/>
        <v>351.53058199784766</v>
      </c>
      <c r="M110" s="252">
        <f t="shared" si="2"/>
        <v>384.6989460186998</v>
      </c>
      <c r="N110" s="252">
        <f t="shared" si="2"/>
        <v>418.16884062888914</v>
      </c>
      <c r="O110" s="252">
        <f t="shared" si="2"/>
        <v>451.30402814801266</v>
      </c>
      <c r="P110" s="252">
        <f t="shared" si="2"/>
        <v>603.8410246120362</v>
      </c>
      <c r="Q110" s="58"/>
    </row>
    <row r="111" spans="2:17" ht="15">
      <c r="B111" s="1"/>
      <c r="C111" s="21"/>
      <c r="D111" s="15"/>
      <c r="E111" s="15"/>
      <c r="G111" s="15"/>
      <c r="H111" s="15"/>
      <c r="I111" s="324"/>
      <c r="J111" s="15"/>
      <c r="K111" s="58"/>
      <c r="L111" s="15"/>
      <c r="M111" s="15"/>
      <c r="N111" s="15"/>
      <c r="O111" s="15"/>
      <c r="P111" s="15"/>
      <c r="Q111" s="58"/>
    </row>
    <row r="112" spans="2:17" ht="15">
      <c r="B112" s="2" t="s">
        <v>14</v>
      </c>
      <c r="C112" s="21"/>
      <c r="D112" s="15"/>
      <c r="E112" s="15"/>
      <c r="G112" s="15"/>
      <c r="H112" s="15"/>
      <c r="I112" s="324"/>
      <c r="J112" s="15"/>
      <c r="K112" s="58"/>
      <c r="L112" s="15"/>
      <c r="M112" s="15"/>
      <c r="N112" s="15"/>
      <c r="O112" s="15"/>
      <c r="P112" s="15"/>
      <c r="Q112" s="58"/>
    </row>
    <row r="113" spans="2:17" ht="15">
      <c r="B113" s="7" t="s">
        <v>163</v>
      </c>
      <c r="C113" s="21"/>
      <c r="D113" s="15"/>
      <c r="E113" s="46"/>
      <c r="F113" s="208">
        <v>201.675</v>
      </c>
      <c r="G113" s="208">
        <v>194.615</v>
      </c>
      <c r="H113" s="208">
        <v>205.14892676269181</v>
      </c>
      <c r="I113" s="238">
        <f>L50</f>
        <v>20.514892676269184</v>
      </c>
      <c r="J113" s="208">
        <v>0</v>
      </c>
      <c r="K113" s="247">
        <f>H113+I113-J113</f>
        <v>225.663819438961</v>
      </c>
      <c r="L113" s="239">
        <f>K113-L156-L157-L168</f>
        <v>237.327196693222</v>
      </c>
      <c r="M113" s="239">
        <f>L113-M156-M157-M168</f>
        <v>250.5556252197504</v>
      </c>
      <c r="N113" s="239">
        <f>M113-N156-N157-N168</f>
        <v>265.363332757385</v>
      </c>
      <c r="O113" s="239">
        <f>N113-O156-O157-O168</f>
        <v>281.7345265160148</v>
      </c>
      <c r="P113" s="239">
        <f>O113-P156-P157-P168</f>
        <v>299.6205647020976</v>
      </c>
      <c r="Q113" s="57"/>
    </row>
    <row r="114" spans="2:17" ht="15">
      <c r="B114" s="100" t="s">
        <v>6</v>
      </c>
      <c r="C114" s="44"/>
      <c r="D114" s="20"/>
      <c r="E114" s="166"/>
      <c r="F114" s="230">
        <v>0</v>
      </c>
      <c r="G114" s="230">
        <v>0</v>
      </c>
      <c r="H114" s="230">
        <v>0</v>
      </c>
      <c r="I114" s="289">
        <f>F58</f>
        <v>2147.317479327716</v>
      </c>
      <c r="J114" s="230">
        <v>0</v>
      </c>
      <c r="K114" s="249">
        <f>H114+I114-J114</f>
        <v>2147.317479327716</v>
      </c>
      <c r="L114" s="248">
        <f>K114</f>
        <v>2147.317479327716</v>
      </c>
      <c r="M114" s="248">
        <f>L114</f>
        <v>2147.317479327716</v>
      </c>
      <c r="N114" s="248">
        <f>M114</f>
        <v>2147.317479327716</v>
      </c>
      <c r="O114" s="248">
        <f>N114</f>
        <v>2147.317479327716</v>
      </c>
      <c r="P114" s="248">
        <f>O114</f>
        <v>2147.317479327716</v>
      </c>
      <c r="Q114" s="57"/>
    </row>
    <row r="115" spans="2:17" ht="15">
      <c r="B115" s="7" t="s">
        <v>181</v>
      </c>
      <c r="C115" s="21"/>
      <c r="D115" s="15"/>
      <c r="E115" s="46"/>
      <c r="F115" s="208">
        <v>0</v>
      </c>
      <c r="G115" s="208">
        <v>0</v>
      </c>
      <c r="H115" s="208">
        <v>0</v>
      </c>
      <c r="I115" s="238">
        <f>L56</f>
        <v>490.528897967945</v>
      </c>
      <c r="J115" s="208">
        <v>0</v>
      </c>
      <c r="K115" s="247">
        <f>H115+I115-J115</f>
        <v>490.528897967945</v>
      </c>
      <c r="L115" s="239">
        <f aca="true" t="shared" si="3" ref="L115:P116">K115-L91</f>
        <v>392.423118374356</v>
      </c>
      <c r="M115" s="239">
        <f t="shared" si="3"/>
        <v>294.31733878076705</v>
      </c>
      <c r="N115" s="239">
        <f t="shared" si="3"/>
        <v>196.21155918717804</v>
      </c>
      <c r="O115" s="239">
        <f t="shared" si="3"/>
        <v>98.10577959358903</v>
      </c>
      <c r="P115" s="239">
        <f t="shared" si="3"/>
        <v>0</v>
      </c>
      <c r="Q115" s="57"/>
    </row>
    <row r="116" spans="2:17" ht="15">
      <c r="B116" s="296" t="s">
        <v>119</v>
      </c>
      <c r="C116" s="297"/>
      <c r="D116" s="298"/>
      <c r="E116" s="167"/>
      <c r="F116" s="152">
        <v>0</v>
      </c>
      <c r="G116" s="152">
        <v>0</v>
      </c>
      <c r="H116" s="152">
        <v>0</v>
      </c>
      <c r="I116" s="290">
        <f>L42</f>
        <v>11.1</v>
      </c>
      <c r="J116" s="152">
        <v>0</v>
      </c>
      <c r="K116" s="251">
        <f>H116+I116-J116</f>
        <v>11.1</v>
      </c>
      <c r="L116" s="250">
        <f t="shared" si="3"/>
        <v>8.879999999999999</v>
      </c>
      <c r="M116" s="250">
        <f t="shared" si="3"/>
        <v>6.659999999999999</v>
      </c>
      <c r="N116" s="250">
        <f t="shared" si="3"/>
        <v>4.4399999999999995</v>
      </c>
      <c r="O116" s="250">
        <f t="shared" si="3"/>
        <v>2.2199999999999998</v>
      </c>
      <c r="P116" s="250">
        <f t="shared" si="3"/>
        <v>0</v>
      </c>
      <c r="Q116" s="57"/>
    </row>
    <row r="117" spans="2:17" ht="15">
      <c r="B117" s="36" t="s">
        <v>13</v>
      </c>
      <c r="C117" s="14"/>
      <c r="D117" s="12"/>
      <c r="E117" s="46"/>
      <c r="F117" s="223">
        <v>20.618000000000002</v>
      </c>
      <c r="G117" s="223">
        <v>24.628</v>
      </c>
      <c r="H117" s="223">
        <v>19.628</v>
      </c>
      <c r="I117" s="293">
        <v>0</v>
      </c>
      <c r="J117" s="208">
        <v>0</v>
      </c>
      <c r="K117" s="247">
        <f>H117+I117-J117</f>
        <v>19.628</v>
      </c>
      <c r="L117" s="239">
        <f>K117</f>
        <v>19.628</v>
      </c>
      <c r="M117" s="239">
        <f>L117</f>
        <v>19.628</v>
      </c>
      <c r="N117" s="239">
        <f>M117</f>
        <v>19.628</v>
      </c>
      <c r="O117" s="239">
        <f>N117</f>
        <v>19.628</v>
      </c>
      <c r="P117" s="239">
        <f>O117</f>
        <v>19.628</v>
      </c>
      <c r="Q117" s="57"/>
    </row>
    <row r="118" spans="2:17" ht="15">
      <c r="B118" s="3" t="s">
        <v>164</v>
      </c>
      <c r="C118" s="6"/>
      <c r="D118" s="35"/>
      <c r="E118" s="20"/>
      <c r="F118" s="212">
        <f>SUM(F113:F117)</f>
        <v>222.293</v>
      </c>
      <c r="G118" s="212">
        <f>SUM(G113:G117)</f>
        <v>219.243</v>
      </c>
      <c r="H118" s="212">
        <f>SUM(H113:H117)</f>
        <v>224.7769267626918</v>
      </c>
      <c r="I118" s="299"/>
      <c r="J118" s="252"/>
      <c r="K118" s="253">
        <f aca="true" t="shared" si="4" ref="K118:P118">SUM(K113:K117)</f>
        <v>2894.238196734622</v>
      </c>
      <c r="L118" s="252">
        <f t="shared" si="4"/>
        <v>2805.575794395294</v>
      </c>
      <c r="M118" s="252">
        <f t="shared" si="4"/>
        <v>2718.478443328233</v>
      </c>
      <c r="N118" s="252">
        <f t="shared" si="4"/>
        <v>2632.960371272279</v>
      </c>
      <c r="O118" s="252">
        <f t="shared" si="4"/>
        <v>2549.0057854373194</v>
      </c>
      <c r="P118" s="252">
        <f t="shared" si="4"/>
        <v>2466.5660440298134</v>
      </c>
      <c r="Q118" s="58"/>
    </row>
    <row r="119" spans="2:17" ht="15">
      <c r="B119" s="23"/>
      <c r="C119" s="14"/>
      <c r="D119" s="12"/>
      <c r="E119" s="12"/>
      <c r="G119" s="12"/>
      <c r="H119" s="12"/>
      <c r="I119" s="325"/>
      <c r="J119" s="12"/>
      <c r="K119" s="59"/>
      <c r="L119" s="12"/>
      <c r="M119" s="12"/>
      <c r="N119" s="12"/>
      <c r="O119" s="12"/>
      <c r="P119" s="12"/>
      <c r="Q119" s="59"/>
    </row>
    <row r="120" spans="2:17" ht="15">
      <c r="B120" s="225" t="s">
        <v>7</v>
      </c>
      <c r="C120" s="14"/>
      <c r="D120" s="12"/>
      <c r="E120" s="12"/>
      <c r="F120" s="227">
        <f>F118+F110</f>
        <v>613.809</v>
      </c>
      <c r="G120" s="227">
        <f>G118+G110</f>
        <v>738.5579999999998</v>
      </c>
      <c r="H120" s="209">
        <f>H118+H110</f>
        <v>911.9453336628194</v>
      </c>
      <c r="I120" s="325"/>
      <c r="J120" s="12"/>
      <c r="K120" s="228">
        <f aca="true" t="shared" si="5" ref="K120:P120">K118+K110</f>
        <v>3581.4066036347494</v>
      </c>
      <c r="L120" s="209">
        <f t="shared" si="5"/>
        <v>3157.1063763931415</v>
      </c>
      <c r="M120" s="209">
        <f t="shared" si="5"/>
        <v>3103.1773893469326</v>
      </c>
      <c r="N120" s="209">
        <f t="shared" si="5"/>
        <v>3051.129211901168</v>
      </c>
      <c r="O120" s="209">
        <f t="shared" si="5"/>
        <v>3000.309813585332</v>
      </c>
      <c r="P120" s="209">
        <f t="shared" si="5"/>
        <v>3070.4070686418495</v>
      </c>
      <c r="Q120" s="59"/>
    </row>
    <row r="121" spans="2:17" ht="15">
      <c r="B121" s="23"/>
      <c r="C121" s="14"/>
      <c r="D121" s="12"/>
      <c r="E121" s="12"/>
      <c r="G121" s="12"/>
      <c r="H121" s="12"/>
      <c r="I121" s="325"/>
      <c r="J121" s="12"/>
      <c r="K121" s="59"/>
      <c r="L121" s="12"/>
      <c r="M121" s="12"/>
      <c r="N121" s="12"/>
      <c r="O121" s="12"/>
      <c r="P121" s="12"/>
      <c r="Q121" s="59"/>
    </row>
    <row r="122" spans="2:17" ht="15">
      <c r="B122" s="37" t="s">
        <v>16</v>
      </c>
      <c r="C122" s="38"/>
      <c r="D122" s="39"/>
      <c r="E122" s="39"/>
      <c r="F122" s="332"/>
      <c r="G122" s="39"/>
      <c r="H122" s="39"/>
      <c r="I122" s="326"/>
      <c r="J122" s="48"/>
      <c r="K122" s="60"/>
      <c r="L122" s="48"/>
      <c r="M122" s="48"/>
      <c r="N122" s="48"/>
      <c r="O122" s="48"/>
      <c r="P122" s="48"/>
      <c r="Q122" s="60"/>
    </row>
    <row r="123" spans="2:17" ht="15">
      <c r="B123" s="2" t="s">
        <v>17</v>
      </c>
      <c r="C123" s="21"/>
      <c r="D123" s="15"/>
      <c r="E123" s="15"/>
      <c r="G123" s="15"/>
      <c r="H123" s="15"/>
      <c r="I123" s="324"/>
      <c r="J123" s="15"/>
      <c r="K123" s="58"/>
      <c r="L123" s="15"/>
      <c r="M123" s="15"/>
      <c r="N123" s="15"/>
      <c r="O123" s="15"/>
      <c r="P123" s="15"/>
      <c r="Q123" s="58"/>
    </row>
    <row r="124" spans="2:17" ht="15">
      <c r="B124" s="128" t="str">
        <f>B30</f>
        <v>Revolver:</v>
      </c>
      <c r="C124" s="124"/>
      <c r="D124" s="165"/>
      <c r="E124" s="164"/>
      <c r="F124" s="229">
        <v>0</v>
      </c>
      <c r="G124" s="229">
        <v>0</v>
      </c>
      <c r="H124" s="229">
        <v>0</v>
      </c>
      <c r="I124" s="294">
        <v>0</v>
      </c>
      <c r="J124" s="229">
        <v>0</v>
      </c>
      <c r="K124" s="292">
        <f>H124-I124+J124</f>
        <v>0</v>
      </c>
      <c r="L124" s="300">
        <f>K124+L173</f>
        <v>0</v>
      </c>
      <c r="M124" s="300">
        <f>L124+M173</f>
        <v>0</v>
      </c>
      <c r="N124" s="300">
        <f>M124+N173</f>
        <v>0</v>
      </c>
      <c r="O124" s="300">
        <f>N124+O173</f>
        <v>0</v>
      </c>
      <c r="P124" s="300">
        <f>O124+P173</f>
        <v>0</v>
      </c>
      <c r="Q124" s="57"/>
    </row>
    <row r="125" spans="2:17" ht="15">
      <c r="B125" s="7" t="s">
        <v>18</v>
      </c>
      <c r="C125" s="21"/>
      <c r="D125" s="15"/>
      <c r="E125" s="46"/>
      <c r="F125" s="208">
        <v>119.719</v>
      </c>
      <c r="G125" s="208">
        <v>127.733</v>
      </c>
      <c r="H125" s="208">
        <v>134.92033366281944</v>
      </c>
      <c r="I125" s="293">
        <v>0</v>
      </c>
      <c r="J125" s="208">
        <v>0</v>
      </c>
      <c r="K125" s="247">
        <f>H125-I125+J125</f>
        <v>134.92033366281944</v>
      </c>
      <c r="L125" s="239">
        <f>L85*L75</f>
        <v>159.70830916549602</v>
      </c>
      <c r="M125" s="239">
        <f>M85*M75</f>
        <v>177.27622317370063</v>
      </c>
      <c r="N125" s="239">
        <f>N85*N75</f>
        <v>195.00384549107068</v>
      </c>
      <c r="O125" s="239">
        <f>O85*O75</f>
        <v>212.5541915852671</v>
      </c>
      <c r="P125" s="239">
        <f>P85*P75</f>
        <v>229.55852691208844</v>
      </c>
      <c r="Q125" s="57"/>
    </row>
    <row r="126" spans="2:17" ht="15">
      <c r="B126" s="7" t="s">
        <v>165</v>
      </c>
      <c r="C126" s="21"/>
      <c r="D126" s="15"/>
      <c r="E126" s="46"/>
      <c r="F126" s="208">
        <v>87.938</v>
      </c>
      <c r="G126" s="208">
        <v>107.61</v>
      </c>
      <c r="H126" s="208">
        <v>107.80596009889318</v>
      </c>
      <c r="I126" s="293">
        <v>0</v>
      </c>
      <c r="J126" s="208">
        <v>0</v>
      </c>
      <c r="K126" s="247">
        <f>H126-I126+J126</f>
        <v>107.80596009889318</v>
      </c>
      <c r="L126" s="239">
        <f>L88*L76</f>
        <v>126.44094308906163</v>
      </c>
      <c r="M126" s="239">
        <f>M88*M76</f>
        <v>140.34944682885842</v>
      </c>
      <c r="N126" s="239">
        <f>N88*N76</f>
        <v>154.38439151174427</v>
      </c>
      <c r="O126" s="239">
        <f>O88*O76</f>
        <v>168.27898674780127</v>
      </c>
      <c r="P126" s="239">
        <f>P88*P76</f>
        <v>181.7413056876254</v>
      </c>
      <c r="Q126" s="57"/>
    </row>
    <row r="127" spans="2:17" ht="15">
      <c r="B127" s="3" t="s">
        <v>19</v>
      </c>
      <c r="C127" s="24"/>
      <c r="D127" s="24"/>
      <c r="E127" s="20"/>
      <c r="F127" s="212">
        <f>SUM(F124:F126)</f>
        <v>207.65699999999998</v>
      </c>
      <c r="G127" s="212">
        <f>SUM(G124:G126)</f>
        <v>235.34300000000002</v>
      </c>
      <c r="H127" s="212">
        <f>SUM(H124:H126)</f>
        <v>242.7262937617126</v>
      </c>
      <c r="I127" s="323"/>
      <c r="J127" s="20"/>
      <c r="K127" s="253">
        <f aca="true" t="shared" si="6" ref="K127:P127">SUM(K124:K126)</f>
        <v>242.7262937617126</v>
      </c>
      <c r="L127" s="252">
        <f t="shared" si="6"/>
        <v>286.14925225455767</v>
      </c>
      <c r="M127" s="252">
        <f t="shared" si="6"/>
        <v>317.62567000255905</v>
      </c>
      <c r="N127" s="252">
        <f t="shared" si="6"/>
        <v>349.38823700281495</v>
      </c>
      <c r="O127" s="252">
        <f t="shared" si="6"/>
        <v>380.83317833306836</v>
      </c>
      <c r="P127" s="252">
        <f t="shared" si="6"/>
        <v>411.29983259971385</v>
      </c>
      <c r="Q127" s="58"/>
    </row>
    <row r="128" spans="2:17" ht="15">
      <c r="B128" s="1"/>
      <c r="C128" s="18"/>
      <c r="D128" s="18"/>
      <c r="E128" s="18"/>
      <c r="G128" s="18"/>
      <c r="H128" s="18"/>
      <c r="I128" s="1"/>
      <c r="J128" s="18"/>
      <c r="K128" s="17"/>
      <c r="L128" s="18"/>
      <c r="M128" s="18"/>
      <c r="N128" s="18"/>
      <c r="O128" s="18"/>
      <c r="P128" s="18"/>
      <c r="Q128" s="17"/>
    </row>
    <row r="129" spans="2:17" ht="15">
      <c r="B129" s="2" t="s">
        <v>20</v>
      </c>
      <c r="C129" s="18"/>
      <c r="D129" s="18"/>
      <c r="E129" s="18"/>
      <c r="G129" s="18"/>
      <c r="H129" s="18"/>
      <c r="I129" s="1"/>
      <c r="J129" s="18"/>
      <c r="K129" s="17"/>
      <c r="L129" s="18"/>
      <c r="M129" s="18"/>
      <c r="N129" s="18"/>
      <c r="O129" s="18"/>
      <c r="P129" s="18"/>
      <c r="Q129" s="17"/>
    </row>
    <row r="130" spans="2:17" ht="15">
      <c r="B130" s="7" t="s">
        <v>126</v>
      </c>
      <c r="C130" s="18"/>
      <c r="D130" s="18"/>
      <c r="E130" s="46"/>
      <c r="F130" s="208">
        <v>100</v>
      </c>
      <c r="G130" s="208">
        <v>49.229</v>
      </c>
      <c r="H130" s="208">
        <v>24.229</v>
      </c>
      <c r="I130" s="238">
        <f>L40</f>
        <v>24.229</v>
      </c>
      <c r="J130" s="208">
        <v>0</v>
      </c>
      <c r="K130" s="247">
        <f aca="true" t="shared" si="7" ref="K130:K135">H130-I130+J130</f>
        <v>0</v>
      </c>
      <c r="L130" s="239">
        <f>K130</f>
        <v>0</v>
      </c>
      <c r="M130" s="239">
        <f>L130</f>
        <v>0</v>
      </c>
      <c r="N130" s="239">
        <f>M130</f>
        <v>0</v>
      </c>
      <c r="O130" s="239">
        <f>N130</f>
        <v>0</v>
      </c>
      <c r="P130" s="239">
        <f>O130</f>
        <v>0</v>
      </c>
      <c r="Q130" s="57"/>
    </row>
    <row r="131" spans="2:17" ht="15">
      <c r="B131" s="100" t="str">
        <f>$B$31</f>
        <v>Term Loan A:</v>
      </c>
      <c r="C131" s="24"/>
      <c r="D131" s="24"/>
      <c r="E131" s="166"/>
      <c r="F131" s="230">
        <v>0</v>
      </c>
      <c r="G131" s="230">
        <v>0</v>
      </c>
      <c r="H131" s="230">
        <v>0</v>
      </c>
      <c r="I131" s="327">
        <v>0</v>
      </c>
      <c r="J131" s="248">
        <f>F39</f>
        <v>500</v>
      </c>
      <c r="K131" s="249">
        <f t="shared" si="7"/>
        <v>500</v>
      </c>
      <c r="L131" s="248">
        <f aca="true" t="shared" si="8" ref="L131:P133">K131+L174</f>
        <v>35.828177001993424</v>
      </c>
      <c r="M131" s="248">
        <f t="shared" si="8"/>
        <v>-2.319211489520967E-11</v>
      </c>
      <c r="N131" s="248">
        <f t="shared" si="8"/>
        <v>3.3783749131544027E-09</v>
      </c>
      <c r="O131" s="248">
        <f t="shared" si="8"/>
        <v>-8.849019650369883E-08</v>
      </c>
      <c r="P131" s="248">
        <f t="shared" si="8"/>
        <v>-1.1831031088149757E-07</v>
      </c>
      <c r="Q131" s="57"/>
    </row>
    <row r="132" spans="2:17" ht="15">
      <c r="B132" s="7" t="str">
        <f>$B$32</f>
        <v>Term Loan B:</v>
      </c>
      <c r="C132" s="18"/>
      <c r="D132" s="18"/>
      <c r="E132" s="46"/>
      <c r="F132" s="208">
        <v>0</v>
      </c>
      <c r="G132" s="208">
        <v>0</v>
      </c>
      <c r="H132" s="208">
        <v>0</v>
      </c>
      <c r="I132" s="293">
        <v>0</v>
      </c>
      <c r="J132" s="239">
        <f>F40</f>
        <v>500</v>
      </c>
      <c r="K132" s="247">
        <f t="shared" si="7"/>
        <v>500</v>
      </c>
      <c r="L132" s="239">
        <f t="shared" si="8"/>
        <v>475</v>
      </c>
      <c r="M132" s="239">
        <f t="shared" si="8"/>
        <v>380.97026310180985</v>
      </c>
      <c r="N132" s="239">
        <f t="shared" si="8"/>
        <v>232.8451680670193</v>
      </c>
      <c r="O132" s="239">
        <f t="shared" si="8"/>
        <v>65.61230698923728</v>
      </c>
      <c r="P132" s="239">
        <f t="shared" si="8"/>
        <v>-7.025525317772008E-05</v>
      </c>
      <c r="Q132" s="57"/>
    </row>
    <row r="133" spans="2:17" ht="15">
      <c r="B133" s="7" t="str">
        <f>$B$33</f>
        <v>Subordinated Note:</v>
      </c>
      <c r="C133" s="18"/>
      <c r="D133" s="18"/>
      <c r="E133" s="46"/>
      <c r="F133" s="208">
        <v>0</v>
      </c>
      <c r="G133" s="208">
        <v>0</v>
      </c>
      <c r="H133" s="208">
        <v>0</v>
      </c>
      <c r="I133" s="293">
        <v>0</v>
      </c>
      <c r="J133" s="239">
        <f>F41</f>
        <v>600</v>
      </c>
      <c r="K133" s="247">
        <f t="shared" si="7"/>
        <v>600</v>
      </c>
      <c r="L133" s="239">
        <f t="shared" si="8"/>
        <v>600</v>
      </c>
      <c r="M133" s="239">
        <f t="shared" si="8"/>
        <v>600</v>
      </c>
      <c r="N133" s="239">
        <f t="shared" si="8"/>
        <v>600</v>
      </c>
      <c r="O133" s="239">
        <f t="shared" si="8"/>
        <v>600</v>
      </c>
      <c r="P133" s="239">
        <f t="shared" si="8"/>
        <v>600</v>
      </c>
      <c r="Q133" s="57"/>
    </row>
    <row r="134" spans="2:17" ht="15">
      <c r="B134" s="101" t="s">
        <v>167</v>
      </c>
      <c r="C134" s="19"/>
      <c r="D134" s="19"/>
      <c r="E134" s="167"/>
      <c r="F134" s="208">
        <v>0</v>
      </c>
      <c r="G134" s="208">
        <v>0</v>
      </c>
      <c r="H134" s="208">
        <v>0</v>
      </c>
      <c r="I134" s="328">
        <v>0</v>
      </c>
      <c r="J134" s="250">
        <f>L60</f>
        <v>205.71678013220483</v>
      </c>
      <c r="K134" s="251">
        <f t="shared" si="7"/>
        <v>205.71678013220483</v>
      </c>
      <c r="L134" s="250">
        <f aca="true" t="shared" si="9" ref="L134:P135">K134</f>
        <v>205.71678013220483</v>
      </c>
      <c r="M134" s="250">
        <f t="shared" si="9"/>
        <v>205.71678013220483</v>
      </c>
      <c r="N134" s="250">
        <f t="shared" si="9"/>
        <v>205.71678013220483</v>
      </c>
      <c r="O134" s="250">
        <f t="shared" si="9"/>
        <v>205.71678013220483</v>
      </c>
      <c r="P134" s="250">
        <f t="shared" si="9"/>
        <v>205.71678013220483</v>
      </c>
      <c r="Q134" s="57"/>
    </row>
    <row r="135" spans="2:17" ht="15">
      <c r="B135" s="7" t="s">
        <v>21</v>
      </c>
      <c r="C135" s="18"/>
      <c r="D135" s="18"/>
      <c r="E135" s="46"/>
      <c r="F135" s="223">
        <v>81.203</v>
      </c>
      <c r="G135" s="223">
        <v>78.108</v>
      </c>
      <c r="H135" s="223">
        <v>82.91203990110671</v>
      </c>
      <c r="I135" s="293">
        <v>0</v>
      </c>
      <c r="J135" s="208">
        <v>0</v>
      </c>
      <c r="K135" s="247">
        <f t="shared" si="7"/>
        <v>82.91203990110671</v>
      </c>
      <c r="L135" s="239">
        <f t="shared" si="9"/>
        <v>82.91203990110671</v>
      </c>
      <c r="M135" s="239">
        <f t="shared" si="9"/>
        <v>82.91203990110671</v>
      </c>
      <c r="N135" s="239">
        <f t="shared" si="9"/>
        <v>82.91203990110671</v>
      </c>
      <c r="O135" s="239">
        <f t="shared" si="9"/>
        <v>82.91203990110671</v>
      </c>
      <c r="P135" s="239">
        <f t="shared" si="9"/>
        <v>82.91203990110671</v>
      </c>
      <c r="Q135" s="57"/>
    </row>
    <row r="136" spans="2:17" ht="15">
      <c r="B136" s="3" t="s">
        <v>166</v>
      </c>
      <c r="C136" s="24"/>
      <c r="D136" s="24"/>
      <c r="E136" s="20"/>
      <c r="F136" s="212">
        <f>SUM(F130:F135)</f>
        <v>181.203</v>
      </c>
      <c r="G136" s="212">
        <f>SUM(G130:G135)</f>
        <v>127.337</v>
      </c>
      <c r="H136" s="212">
        <f>SUM(H130:H135)</f>
        <v>107.14103990110671</v>
      </c>
      <c r="I136" s="299"/>
      <c r="J136" s="252"/>
      <c r="K136" s="253">
        <f aca="true" t="shared" si="10" ref="K136:P136">SUM(K130:K135)</f>
        <v>1888.6288200333115</v>
      </c>
      <c r="L136" s="252">
        <f t="shared" si="10"/>
        <v>1399.456997035305</v>
      </c>
      <c r="M136" s="252">
        <f t="shared" si="10"/>
        <v>1269.5990831350982</v>
      </c>
      <c r="N136" s="252">
        <f t="shared" si="10"/>
        <v>1121.4739881037092</v>
      </c>
      <c r="O136" s="252">
        <f t="shared" si="10"/>
        <v>954.2411269340586</v>
      </c>
      <c r="P136" s="252">
        <f t="shared" si="10"/>
        <v>888.628749659748</v>
      </c>
      <c r="Q136" s="58"/>
    </row>
    <row r="137" spans="2:17" ht="15">
      <c r="B137" s="1"/>
      <c r="C137" s="18"/>
      <c r="D137" s="18"/>
      <c r="E137" s="18"/>
      <c r="G137" s="18"/>
      <c r="H137" s="18"/>
      <c r="I137" s="1"/>
      <c r="J137" s="18"/>
      <c r="K137" s="17"/>
      <c r="L137" s="18"/>
      <c r="M137" s="18"/>
      <c r="N137" s="18"/>
      <c r="O137" s="18"/>
      <c r="P137" s="18"/>
      <c r="Q137" s="17"/>
    </row>
    <row r="138" spans="2:17" ht="15">
      <c r="B138" s="2" t="s">
        <v>22</v>
      </c>
      <c r="C138" s="18"/>
      <c r="D138" s="18"/>
      <c r="E138" s="18"/>
      <c r="F138" s="227">
        <f>F136+F127</f>
        <v>388.86</v>
      </c>
      <c r="G138" s="227">
        <f>G136+G127</f>
        <v>362.68</v>
      </c>
      <c r="H138" s="209">
        <f>H136+H127</f>
        <v>349.8673336628193</v>
      </c>
      <c r="I138" s="1"/>
      <c r="J138" s="18"/>
      <c r="K138" s="228">
        <f aca="true" t="shared" si="11" ref="K138:P138">K136+K127</f>
        <v>2131.355113795024</v>
      </c>
      <c r="L138" s="209">
        <f t="shared" si="11"/>
        <v>1685.6062492898627</v>
      </c>
      <c r="M138" s="209">
        <f t="shared" si="11"/>
        <v>1587.2247531376572</v>
      </c>
      <c r="N138" s="209">
        <f t="shared" si="11"/>
        <v>1470.8622251065242</v>
      </c>
      <c r="O138" s="209">
        <f t="shared" si="11"/>
        <v>1335.0743052671269</v>
      </c>
      <c r="P138" s="209">
        <f t="shared" si="11"/>
        <v>1299.9285822594618</v>
      </c>
      <c r="Q138" s="17"/>
    </row>
    <row r="139" spans="2:17" ht="15">
      <c r="B139" s="1"/>
      <c r="C139" s="18"/>
      <c r="D139" s="18"/>
      <c r="E139" s="18"/>
      <c r="G139" s="18"/>
      <c r="H139" s="18"/>
      <c r="I139" s="1"/>
      <c r="J139" s="18"/>
      <c r="K139" s="17"/>
      <c r="L139" s="18"/>
      <c r="M139" s="18"/>
      <c r="N139" s="18"/>
      <c r="O139" s="18"/>
      <c r="P139" s="18"/>
      <c r="Q139" s="17"/>
    </row>
    <row r="140" spans="2:17" ht="15">
      <c r="B140" s="2" t="s">
        <v>23</v>
      </c>
      <c r="C140" s="18"/>
      <c r="D140" s="18"/>
      <c r="E140" s="18"/>
      <c r="G140" s="18"/>
      <c r="H140" s="18"/>
      <c r="I140" s="1"/>
      <c r="J140" s="18"/>
      <c r="K140" s="17"/>
      <c r="L140" s="18"/>
      <c r="M140" s="18"/>
      <c r="N140" s="18"/>
      <c r="O140" s="18"/>
      <c r="P140" s="18"/>
      <c r="Q140" s="17"/>
    </row>
    <row r="141" spans="2:17" ht="15">
      <c r="B141" s="7" t="s">
        <v>168</v>
      </c>
      <c r="C141" s="18"/>
      <c r="D141" s="18"/>
      <c r="E141" s="46"/>
      <c r="F141" s="208">
        <v>585.64</v>
      </c>
      <c r="G141" s="208">
        <v>614.032</v>
      </c>
      <c r="H141" s="208">
        <v>631.032</v>
      </c>
      <c r="I141" s="238">
        <f>H141</f>
        <v>631.032</v>
      </c>
      <c r="J141" s="208">
        <v>0</v>
      </c>
      <c r="K141" s="247">
        <f>H141-I141+J141</f>
        <v>0</v>
      </c>
      <c r="L141" s="239">
        <f aca="true" t="shared" si="12" ref="L141:P143">K141</f>
        <v>0</v>
      </c>
      <c r="M141" s="239">
        <f t="shared" si="12"/>
        <v>0</v>
      </c>
      <c r="N141" s="239">
        <f t="shared" si="12"/>
        <v>0</v>
      </c>
      <c r="O141" s="239">
        <f t="shared" si="12"/>
        <v>0</v>
      </c>
      <c r="P141" s="239">
        <f t="shared" si="12"/>
        <v>0</v>
      </c>
      <c r="Q141" s="57"/>
    </row>
    <row r="142" spans="2:17" ht="15">
      <c r="B142" s="7" t="s">
        <v>24</v>
      </c>
      <c r="C142" s="18"/>
      <c r="D142" s="18"/>
      <c r="E142" s="46"/>
      <c r="F142" s="208">
        <v>-3.6</v>
      </c>
      <c r="G142" s="208">
        <v>-4.423</v>
      </c>
      <c r="H142" s="208">
        <v>-4.423</v>
      </c>
      <c r="I142" s="238">
        <f>H142</f>
        <v>-4.423</v>
      </c>
      <c r="J142" s="208">
        <v>0</v>
      </c>
      <c r="K142" s="247">
        <f>H142-I142+J142</f>
        <v>0</v>
      </c>
      <c r="L142" s="239">
        <f t="shared" si="12"/>
        <v>0</v>
      </c>
      <c r="M142" s="239">
        <f t="shared" si="12"/>
        <v>0</v>
      </c>
      <c r="N142" s="239">
        <f t="shared" si="12"/>
        <v>0</v>
      </c>
      <c r="O142" s="239">
        <f t="shared" si="12"/>
        <v>0</v>
      </c>
      <c r="P142" s="239">
        <f t="shared" si="12"/>
        <v>0</v>
      </c>
      <c r="Q142" s="57"/>
    </row>
    <row r="143" spans="2:17" ht="15">
      <c r="B143" s="128" t="s">
        <v>127</v>
      </c>
      <c r="C143" s="102"/>
      <c r="D143" s="102"/>
      <c r="E143" s="164"/>
      <c r="F143" s="223"/>
      <c r="G143" s="223"/>
      <c r="H143" s="223"/>
      <c r="I143" s="329">
        <v>0</v>
      </c>
      <c r="J143" s="291">
        <f>F42</f>
        <v>1464.095657309244</v>
      </c>
      <c r="K143" s="255">
        <f>H143-I143+J143</f>
        <v>1464.095657309244</v>
      </c>
      <c r="L143" s="291">
        <f t="shared" si="12"/>
        <v>1464.095657309244</v>
      </c>
      <c r="M143" s="291">
        <f t="shared" si="12"/>
        <v>1464.095657309244</v>
      </c>
      <c r="N143" s="291">
        <f t="shared" si="12"/>
        <v>1464.095657309244</v>
      </c>
      <c r="O143" s="291">
        <f t="shared" si="12"/>
        <v>1464.095657309244</v>
      </c>
      <c r="P143" s="291">
        <f t="shared" si="12"/>
        <v>1464.095657309244</v>
      </c>
      <c r="Q143" s="57"/>
    </row>
    <row r="144" spans="2:17" ht="15">
      <c r="B144" s="7" t="s">
        <v>25</v>
      </c>
      <c r="C144" s="18"/>
      <c r="D144" s="18"/>
      <c r="E144" s="46"/>
      <c r="F144" s="223">
        <v>-357.091</v>
      </c>
      <c r="G144" s="223">
        <v>-233.731</v>
      </c>
      <c r="H144" s="223">
        <v>-64.53099999999995</v>
      </c>
      <c r="I144" s="238">
        <f>H144+L41+L43</f>
        <v>-50.486832530480775</v>
      </c>
      <c r="J144" s="208">
        <v>0</v>
      </c>
      <c r="K144" s="247">
        <f>H144-I144+J144</f>
        <v>-14.044167469519174</v>
      </c>
      <c r="L144" s="239">
        <f>K144+L155</f>
        <v>7.404469794034483</v>
      </c>
      <c r="M144" s="239">
        <f>L144+M155</f>
        <v>51.85697890001588</v>
      </c>
      <c r="N144" s="239">
        <f>M144+N155</f>
        <v>116.17132949797022</v>
      </c>
      <c r="O144" s="239">
        <f>N144+O155</f>
        <v>201.13985146313098</v>
      </c>
      <c r="P144" s="239">
        <f>O144+P155</f>
        <v>306.38281714784114</v>
      </c>
      <c r="Q144" s="57"/>
    </row>
    <row r="145" spans="2:17" ht="15">
      <c r="B145" s="3" t="s">
        <v>26</v>
      </c>
      <c r="C145" s="24"/>
      <c r="D145" s="24"/>
      <c r="E145" s="20"/>
      <c r="F145" s="227">
        <f>SUM(F141:F144)</f>
        <v>224.94899999999996</v>
      </c>
      <c r="G145" s="227">
        <f>SUM(G141:G144)</f>
        <v>375.87800000000004</v>
      </c>
      <c r="H145" s="222">
        <f>SUM(H141:H144)</f>
        <v>562.0780000000001</v>
      </c>
      <c r="I145" s="323"/>
      <c r="J145" s="20"/>
      <c r="K145" s="224">
        <f aca="true" t="shared" si="13" ref="K145:P145">SUM(K141:K144)</f>
        <v>1450.0514898397248</v>
      </c>
      <c r="L145" s="222">
        <f t="shared" si="13"/>
        <v>1471.5001271032784</v>
      </c>
      <c r="M145" s="222">
        <f t="shared" si="13"/>
        <v>1515.95263620926</v>
      </c>
      <c r="N145" s="222">
        <f t="shared" si="13"/>
        <v>1580.2669868072142</v>
      </c>
      <c r="O145" s="222">
        <f t="shared" si="13"/>
        <v>1665.235508772375</v>
      </c>
      <c r="P145" s="222">
        <f t="shared" si="13"/>
        <v>1770.4784744570852</v>
      </c>
      <c r="Q145" s="58"/>
    </row>
    <row r="146" spans="2:17" ht="15">
      <c r="B146" s="1"/>
      <c r="C146" s="18"/>
      <c r="D146" s="18"/>
      <c r="E146" s="18"/>
      <c r="G146" s="262"/>
      <c r="H146" s="18"/>
      <c r="I146" s="1"/>
      <c r="J146" s="18"/>
      <c r="K146" s="17"/>
      <c r="L146" s="18"/>
      <c r="M146" s="18"/>
      <c r="N146" s="18"/>
      <c r="O146" s="18"/>
      <c r="P146" s="18"/>
      <c r="Q146" s="17"/>
    </row>
    <row r="147" spans="2:17" ht="15">
      <c r="B147" s="5" t="s">
        <v>10</v>
      </c>
      <c r="C147" s="19"/>
      <c r="D147" s="19"/>
      <c r="E147" s="40"/>
      <c r="F147" s="233">
        <f>F145+F138</f>
        <v>613.809</v>
      </c>
      <c r="G147" s="233">
        <f>G145+G138</f>
        <v>738.558</v>
      </c>
      <c r="H147" s="301">
        <f>H145+H138</f>
        <v>911.9453336628194</v>
      </c>
      <c r="I147" s="330"/>
      <c r="J147" s="40"/>
      <c r="K147" s="263">
        <f aca="true" t="shared" si="14" ref="K147:P147">K145+K138</f>
        <v>3581.4066036347485</v>
      </c>
      <c r="L147" s="301">
        <f t="shared" si="14"/>
        <v>3157.106376393141</v>
      </c>
      <c r="M147" s="301">
        <f t="shared" si="14"/>
        <v>3103.177389346917</v>
      </c>
      <c r="N147" s="301">
        <f t="shared" si="14"/>
        <v>3051.1292119137383</v>
      </c>
      <c r="O147" s="301">
        <f t="shared" si="14"/>
        <v>3000.309814039502</v>
      </c>
      <c r="P147" s="301">
        <f t="shared" si="14"/>
        <v>3070.4070567165472</v>
      </c>
      <c r="Q147" s="61"/>
    </row>
    <row r="148" ht="15">
      <c r="M148" s="284"/>
    </row>
    <row r="149" spans="2:17" ht="15">
      <c r="B149" s="27" t="s">
        <v>44</v>
      </c>
      <c r="F149" s="284">
        <f>F120-F147</f>
        <v>0</v>
      </c>
      <c r="G149" s="284">
        <f>G120-G147</f>
        <v>0</v>
      </c>
      <c r="H149" s="284">
        <f>H120-H147</f>
        <v>0</v>
      </c>
      <c r="I149" s="169"/>
      <c r="J149" s="169"/>
      <c r="K149" s="302">
        <f aca="true" t="shared" si="15" ref="K149:P149">K120-K147</f>
        <v>0</v>
      </c>
      <c r="L149" s="302">
        <f t="shared" si="15"/>
        <v>0</v>
      </c>
      <c r="M149" s="302">
        <f t="shared" si="15"/>
        <v>1.546140993013978E-11</v>
      </c>
      <c r="N149" s="302">
        <f t="shared" si="15"/>
        <v>-1.2570126273203641E-08</v>
      </c>
      <c r="O149" s="302">
        <f t="shared" si="15"/>
        <v>-4.541698217508383E-07</v>
      </c>
      <c r="P149" s="302">
        <f t="shared" si="15"/>
        <v>1.19253022603516E-05</v>
      </c>
      <c r="Q149" s="168"/>
    </row>
    <row r="151" spans="2:17" ht="15">
      <c r="B151" s="90" t="s">
        <v>27</v>
      </c>
      <c r="C151" s="30"/>
      <c r="D151" s="30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2"/>
    </row>
    <row r="152" spans="2:17" ht="15">
      <c r="B152" s="1"/>
      <c r="C152" s="18"/>
      <c r="F152" s="158" t="str">
        <f>$F$64</f>
        <v>Historical</v>
      </c>
      <c r="G152" s="156"/>
      <c r="H152" s="157"/>
      <c r="I152" s="202" t="str">
        <f>$I$64</f>
        <v>Transaction Adjustments</v>
      </c>
      <c r="J152" s="158"/>
      <c r="K152" s="331"/>
      <c r="L152" s="158" t="str">
        <f>$L$64</f>
        <v>Projected</v>
      </c>
      <c r="M152" s="158"/>
      <c r="N152" s="158"/>
      <c r="O152" s="158"/>
      <c r="P152" s="158"/>
      <c r="Q152" s="198"/>
    </row>
    <row r="153" spans="2:17" ht="15">
      <c r="B153" s="1"/>
      <c r="C153" s="18"/>
      <c r="F153" s="197">
        <f>$F$65</f>
        <v>39844</v>
      </c>
      <c r="G153" s="197">
        <f>$G$65</f>
        <v>40209</v>
      </c>
      <c r="H153" s="197">
        <f>$H$65</f>
        <v>40574</v>
      </c>
      <c r="I153" s="200" t="str">
        <f>$I$65</f>
        <v>Debit</v>
      </c>
      <c r="J153" s="183" t="str">
        <f>$J$65</f>
        <v>Credit</v>
      </c>
      <c r="K153" s="196">
        <f>$K$65</f>
        <v>40574</v>
      </c>
      <c r="L153" s="197">
        <f>$L$65</f>
        <v>40939</v>
      </c>
      <c r="M153" s="197">
        <f>$M$65</f>
        <v>41305</v>
      </c>
      <c r="N153" s="197">
        <f>$N$65</f>
        <v>41670</v>
      </c>
      <c r="O153" s="197">
        <f>$O$65</f>
        <v>42035</v>
      </c>
      <c r="P153" s="197">
        <f>$P$65</f>
        <v>42400</v>
      </c>
      <c r="Q153" s="83"/>
    </row>
    <row r="154" spans="2:17" ht="15">
      <c r="B154" s="25"/>
      <c r="C154" s="41"/>
      <c r="D154" s="42"/>
      <c r="E154" s="42"/>
      <c r="H154" s="62"/>
      <c r="I154" s="170"/>
      <c r="J154" s="170"/>
      <c r="K154" s="62"/>
      <c r="L154" s="18"/>
      <c r="P154" s="18"/>
      <c r="Q154" s="17"/>
    </row>
    <row r="155" spans="2:17" ht="15">
      <c r="B155" s="2" t="s">
        <v>8</v>
      </c>
      <c r="F155" s="237"/>
      <c r="G155" s="237"/>
      <c r="H155" s="246"/>
      <c r="I155" s="15"/>
      <c r="J155" s="15"/>
      <c r="K155" s="58"/>
      <c r="L155" s="237">
        <f>L99</f>
        <v>21.44863726355365</v>
      </c>
      <c r="M155" s="237">
        <f>M99</f>
        <v>44.45250910580333</v>
      </c>
      <c r="N155" s="237">
        <f>N99</f>
        <v>64.31435063833129</v>
      </c>
      <c r="O155" s="237">
        <f>O99</f>
        <v>84.96852301914676</v>
      </c>
      <c r="P155" s="237">
        <f>P99</f>
        <v>105.24296844000463</v>
      </c>
      <c r="Q155" s="58"/>
    </row>
    <row r="156" spans="2:17" ht="15">
      <c r="B156" s="7" t="s">
        <v>159</v>
      </c>
      <c r="C156" s="18"/>
      <c r="D156" s="18"/>
      <c r="E156" s="26"/>
      <c r="F156" s="239"/>
      <c r="G156" s="239"/>
      <c r="H156" s="247"/>
      <c r="I156" s="16"/>
      <c r="J156" s="16"/>
      <c r="K156" s="57"/>
      <c r="L156" s="239">
        <f aca="true" t="shared" si="16" ref="L156:P159">L89</f>
        <v>67.9062591354201</v>
      </c>
      <c r="M156" s="239">
        <f t="shared" si="16"/>
        <v>75.37594764031633</v>
      </c>
      <c r="N156" s="239">
        <f t="shared" si="16"/>
        <v>82.91354240434795</v>
      </c>
      <c r="O156" s="239">
        <f t="shared" si="16"/>
        <v>90.37576122073928</v>
      </c>
      <c r="P156" s="239">
        <f t="shared" si="16"/>
        <v>97.60582211839844</v>
      </c>
      <c r="Q156" s="57"/>
    </row>
    <row r="157" spans="2:17" ht="15">
      <c r="B157" s="100" t="s">
        <v>123</v>
      </c>
      <c r="C157" s="24"/>
      <c r="D157" s="24"/>
      <c r="E157" s="24"/>
      <c r="F157" s="248"/>
      <c r="G157" s="248"/>
      <c r="H157" s="249"/>
      <c r="I157" s="160"/>
      <c r="J157" s="160"/>
      <c r="K157" s="333"/>
      <c r="L157" s="248">
        <f t="shared" si="16"/>
        <v>2.564361584533648</v>
      </c>
      <c r="M157" s="248">
        <f t="shared" si="16"/>
        <v>2.564361584533648</v>
      </c>
      <c r="N157" s="248">
        <f t="shared" si="16"/>
        <v>2.564361584533648</v>
      </c>
      <c r="O157" s="248">
        <f t="shared" si="16"/>
        <v>2.564361584533648</v>
      </c>
      <c r="P157" s="248">
        <f t="shared" si="16"/>
        <v>2.564361584533648</v>
      </c>
      <c r="Q157" s="57"/>
    </row>
    <row r="158" spans="2:17" ht="15">
      <c r="B158" s="7" t="s">
        <v>124</v>
      </c>
      <c r="C158" s="18"/>
      <c r="D158" s="18"/>
      <c r="E158" s="18"/>
      <c r="F158" s="239"/>
      <c r="G158" s="239"/>
      <c r="H158" s="247"/>
      <c r="I158" s="26"/>
      <c r="J158" s="26"/>
      <c r="K158" s="334"/>
      <c r="L158" s="239">
        <f t="shared" si="16"/>
        <v>98.105779593589</v>
      </c>
      <c r="M158" s="239">
        <f t="shared" si="16"/>
        <v>98.105779593589</v>
      </c>
      <c r="N158" s="239">
        <f t="shared" si="16"/>
        <v>98.105779593589</v>
      </c>
      <c r="O158" s="239">
        <f t="shared" si="16"/>
        <v>98.105779593589</v>
      </c>
      <c r="P158" s="239">
        <f t="shared" si="16"/>
        <v>98.105779593589</v>
      </c>
      <c r="Q158" s="57"/>
    </row>
    <row r="159" spans="2:17" ht="15">
      <c r="B159" s="101" t="s">
        <v>125</v>
      </c>
      <c r="C159" s="19"/>
      <c r="D159" s="19"/>
      <c r="E159" s="19"/>
      <c r="F159" s="250"/>
      <c r="G159" s="250"/>
      <c r="H159" s="251"/>
      <c r="I159" s="162"/>
      <c r="J159" s="162"/>
      <c r="K159" s="335"/>
      <c r="L159" s="250">
        <f t="shared" si="16"/>
        <v>2.2199999999999998</v>
      </c>
      <c r="M159" s="250">
        <f t="shared" si="16"/>
        <v>2.2199999999999998</v>
      </c>
      <c r="N159" s="250">
        <f t="shared" si="16"/>
        <v>2.2199999999999998</v>
      </c>
      <c r="O159" s="250">
        <f t="shared" si="16"/>
        <v>2.2199999999999998</v>
      </c>
      <c r="P159" s="250">
        <f t="shared" si="16"/>
        <v>2.2199999999999998</v>
      </c>
      <c r="Q159" s="57"/>
    </row>
    <row r="160" spans="2:17" ht="15">
      <c r="B160" s="10" t="s">
        <v>28</v>
      </c>
      <c r="C160" s="18"/>
      <c r="D160" s="18"/>
      <c r="E160" s="21"/>
      <c r="F160" s="16"/>
      <c r="G160" s="16"/>
      <c r="H160" s="57"/>
      <c r="I160" s="16"/>
      <c r="J160" s="16"/>
      <c r="K160" s="57"/>
      <c r="L160" s="16"/>
      <c r="M160" s="16"/>
      <c r="N160" s="16"/>
      <c r="O160" s="16"/>
      <c r="P160" s="16"/>
      <c r="Q160" s="57"/>
    </row>
    <row r="161" spans="2:17" ht="15">
      <c r="B161" s="7" t="s">
        <v>161</v>
      </c>
      <c r="C161" s="18"/>
      <c r="D161" s="18"/>
      <c r="E161" s="21"/>
      <c r="F161" s="208"/>
      <c r="G161" s="208"/>
      <c r="H161" s="247"/>
      <c r="I161" s="16"/>
      <c r="J161" s="16"/>
      <c r="K161" s="57"/>
      <c r="L161" s="239">
        <f aca="true" t="shared" si="17" ref="L161:P162">K108-L108</f>
        <v>-37.79778983655888</v>
      </c>
      <c r="M161" s="239">
        <f t="shared" si="17"/>
        <v>-26.78832410001192</v>
      </c>
      <c r="N161" s="239">
        <f t="shared" si="17"/>
        <v>-27.031854319102877</v>
      </c>
      <c r="O161" s="239">
        <f t="shared" si="17"/>
        <v>-26.76153577591191</v>
      </c>
      <c r="P161" s="239">
        <f t="shared" si="17"/>
        <v>-25.928954662883484</v>
      </c>
      <c r="Q161" s="57"/>
    </row>
    <row r="162" spans="2:17" ht="15">
      <c r="B162" s="7" t="s">
        <v>162</v>
      </c>
      <c r="C162" s="18"/>
      <c r="D162" s="18"/>
      <c r="E162" s="21"/>
      <c r="F162" s="208"/>
      <c r="G162" s="208"/>
      <c r="H162" s="247"/>
      <c r="I162" s="16"/>
      <c r="J162" s="16"/>
      <c r="K162" s="57"/>
      <c r="L162" s="239">
        <f t="shared" si="17"/>
        <v>-8.612009689639017</v>
      </c>
      <c r="M162" s="239">
        <f t="shared" si="17"/>
        <v>-6.380039919750239</v>
      </c>
      <c r="N162" s="239">
        <f t="shared" si="17"/>
        <v>-6.4380402826570275</v>
      </c>
      <c r="O162" s="239">
        <f t="shared" si="17"/>
        <v>-6.373659879830484</v>
      </c>
      <c r="P162" s="239">
        <f t="shared" si="17"/>
        <v>-6.175368239124651</v>
      </c>
      <c r="Q162" s="57"/>
    </row>
    <row r="163" spans="2:17" ht="15">
      <c r="B163" s="36" t="s">
        <v>13</v>
      </c>
      <c r="C163" s="18"/>
      <c r="D163" s="18"/>
      <c r="E163" s="21"/>
      <c r="F163" s="208"/>
      <c r="G163" s="208"/>
      <c r="H163" s="247"/>
      <c r="I163" s="16"/>
      <c r="J163" s="16"/>
      <c r="K163" s="57"/>
      <c r="L163" s="239">
        <f>K117-L117</f>
        <v>0</v>
      </c>
      <c r="M163" s="239">
        <f>L117-M117</f>
        <v>0</v>
      </c>
      <c r="N163" s="239">
        <f>M117-N117</f>
        <v>0</v>
      </c>
      <c r="O163" s="239">
        <f>N117-O117</f>
        <v>0</v>
      </c>
      <c r="P163" s="239">
        <f>O117-P117</f>
        <v>0</v>
      </c>
      <c r="Q163" s="57"/>
    </row>
    <row r="164" spans="2:17" ht="15">
      <c r="B164" s="7" t="s">
        <v>169</v>
      </c>
      <c r="C164" s="18"/>
      <c r="D164" s="18"/>
      <c r="E164" s="21"/>
      <c r="F164" s="208"/>
      <c r="G164" s="208"/>
      <c r="H164" s="247"/>
      <c r="I164" s="16"/>
      <c r="J164" s="16"/>
      <c r="K164" s="57"/>
      <c r="L164" s="239">
        <f>L125-K125</f>
        <v>24.787975502676574</v>
      </c>
      <c r="M164" s="239">
        <f>M125-L125</f>
        <v>17.56791400820461</v>
      </c>
      <c r="N164" s="239">
        <f>N125-M125</f>
        <v>17.72762231737005</v>
      </c>
      <c r="O164" s="239">
        <f>O125-N125</f>
        <v>17.550346094196414</v>
      </c>
      <c r="P164" s="239">
        <f>P125-O125</f>
        <v>17.004335326821348</v>
      </c>
      <c r="Q164" s="57"/>
    </row>
    <row r="165" spans="2:17" ht="15">
      <c r="B165" s="7" t="s">
        <v>29</v>
      </c>
      <c r="C165" s="18"/>
      <c r="D165" s="18"/>
      <c r="E165" s="21"/>
      <c r="F165" s="208"/>
      <c r="G165" s="208"/>
      <c r="H165" s="258"/>
      <c r="I165" s="16"/>
      <c r="J165" s="16"/>
      <c r="K165" s="57"/>
      <c r="L165" s="239">
        <f>L126-K126+L135-K135</f>
        <v>18.634982990168453</v>
      </c>
      <c r="M165" s="239">
        <f>M126-L126+M135-L135</f>
        <v>13.908503739796785</v>
      </c>
      <c r="N165" s="239">
        <f>N126-M126+N135-M135</f>
        <v>14.03494468288585</v>
      </c>
      <c r="O165" s="239">
        <f>O126-N126+O135-N135</f>
        <v>13.894595236057</v>
      </c>
      <c r="P165" s="239">
        <f>P126-O126+P135-O135</f>
        <v>13.462318939824144</v>
      </c>
      <c r="Q165" s="57"/>
    </row>
    <row r="166" spans="2:17" ht="15">
      <c r="B166" s="11" t="s">
        <v>30</v>
      </c>
      <c r="C166" s="24"/>
      <c r="D166" s="24"/>
      <c r="E166" s="44"/>
      <c r="F166" s="252"/>
      <c r="G166" s="252"/>
      <c r="H166" s="253"/>
      <c r="I166" s="161"/>
      <c r="J166" s="161"/>
      <c r="K166" s="336"/>
      <c r="L166" s="252">
        <f>SUM(L161:L165)+SUM(L155:L159)</f>
        <v>189.2581965437435</v>
      </c>
      <c r="M166" s="252">
        <f>SUM(M161:M165)+SUM(M155:M159)</f>
        <v>221.02665165248152</v>
      </c>
      <c r="N166" s="252">
        <f>SUM(N161:N165)+SUM(N155:N159)</f>
        <v>248.41070661929788</v>
      </c>
      <c r="O166" s="252">
        <f>SUM(O161:O165)+SUM(O155:O159)</f>
        <v>276.5441710925198</v>
      </c>
      <c r="P166" s="252">
        <f>SUM(P161:P165)+SUM(P155:P159)</f>
        <v>304.1012631011631</v>
      </c>
      <c r="Q166" s="58"/>
    </row>
    <row r="167" spans="2:17" ht="15">
      <c r="B167" s="71"/>
      <c r="C167" s="18"/>
      <c r="D167" s="18"/>
      <c r="E167" s="21"/>
      <c r="F167" s="16"/>
      <c r="G167" s="16"/>
      <c r="H167" s="57"/>
      <c r="I167" s="16"/>
      <c r="J167" s="16"/>
      <c r="K167" s="57"/>
      <c r="L167" s="16"/>
      <c r="M167" s="16"/>
      <c r="N167" s="16"/>
      <c r="O167" s="16"/>
      <c r="P167" s="16"/>
      <c r="Q167" s="57"/>
    </row>
    <row r="168" spans="2:17" ht="15">
      <c r="B168" s="7" t="s">
        <v>31</v>
      </c>
      <c r="C168" s="18"/>
      <c r="D168" s="18"/>
      <c r="E168" s="18"/>
      <c r="F168" s="254"/>
      <c r="G168" s="254"/>
      <c r="H168" s="257"/>
      <c r="I168" s="18"/>
      <c r="J168" s="18"/>
      <c r="K168" s="94"/>
      <c r="L168" s="250">
        <f>-L84*L78</f>
        <v>-82.13399797421475</v>
      </c>
      <c r="M168" s="250">
        <f>-M84*M78</f>
        <v>-91.16873775137839</v>
      </c>
      <c r="N168" s="250">
        <f>-N84*N78</f>
        <v>-100.28561152651623</v>
      </c>
      <c r="O168" s="250">
        <f>-O84*O78</f>
        <v>-109.31131656390271</v>
      </c>
      <c r="P168" s="239">
        <f>-P84*P78</f>
        <v>-118.05622188901494</v>
      </c>
      <c r="Q168" s="64"/>
    </row>
    <row r="169" spans="2:17" ht="15">
      <c r="B169" s="11" t="s">
        <v>32</v>
      </c>
      <c r="C169" s="24"/>
      <c r="D169" s="24"/>
      <c r="E169" s="24"/>
      <c r="F169" s="212"/>
      <c r="G169" s="212"/>
      <c r="H169" s="213"/>
      <c r="I169" s="24"/>
      <c r="J169" s="24"/>
      <c r="K169" s="51"/>
      <c r="L169" s="212">
        <f>SUM(L168)</f>
        <v>-82.13399797421475</v>
      </c>
      <c r="M169" s="212">
        <f>SUM(M168)</f>
        <v>-91.16873775137839</v>
      </c>
      <c r="N169" s="212">
        <f>SUM(N168)</f>
        <v>-100.28561152651623</v>
      </c>
      <c r="O169" s="212">
        <f>SUM(O168)</f>
        <v>-109.31131656390271</v>
      </c>
      <c r="P169" s="212">
        <f>SUM(P168)</f>
        <v>-118.05622188901494</v>
      </c>
      <c r="Q169" s="64"/>
    </row>
    <row r="170" spans="2:17" ht="15">
      <c r="B170" s="10"/>
      <c r="C170" s="18"/>
      <c r="D170" s="18"/>
      <c r="E170" s="18"/>
      <c r="F170" s="210"/>
      <c r="G170" s="210"/>
      <c r="H170" s="17"/>
      <c r="I170" s="18"/>
      <c r="J170" s="18"/>
      <c r="K170" s="17"/>
      <c r="L170" s="53"/>
      <c r="M170" s="53"/>
      <c r="N170" s="53"/>
      <c r="O170" s="53"/>
      <c r="P170" s="53"/>
      <c r="Q170" s="64"/>
    </row>
    <row r="171" spans="2:17" ht="15">
      <c r="B171" s="10" t="s">
        <v>128</v>
      </c>
      <c r="C171" s="18"/>
      <c r="D171" s="18"/>
      <c r="E171" s="18"/>
      <c r="H171" s="17"/>
      <c r="I171" s="18"/>
      <c r="J171" s="18"/>
      <c r="K171" s="17"/>
      <c r="L171" s="245">
        <f>L169+L166</f>
        <v>107.12419856952876</v>
      </c>
      <c r="M171" s="245">
        <f>M169+M166</f>
        <v>129.85791390110313</v>
      </c>
      <c r="N171" s="245">
        <f>N169+N166</f>
        <v>148.12509509278163</v>
      </c>
      <c r="O171" s="245">
        <f>O169+O166</f>
        <v>167.23285452861705</v>
      </c>
      <c r="P171" s="245">
        <f>P169+P166</f>
        <v>186.0450412121482</v>
      </c>
      <c r="Q171" s="58"/>
    </row>
    <row r="172" spans="2:17" ht="15">
      <c r="B172" s="7"/>
      <c r="C172" s="18"/>
      <c r="D172" s="18"/>
      <c r="E172" s="18"/>
      <c r="H172" s="17"/>
      <c r="I172" s="18"/>
      <c r="J172" s="18"/>
      <c r="K172" s="17"/>
      <c r="L172" s="73"/>
      <c r="P172" s="18"/>
      <c r="Q172" s="17"/>
    </row>
    <row r="173" spans="2:17" ht="15">
      <c r="B173" s="100" t="str">
        <f>$B$30</f>
        <v>Revolver:</v>
      </c>
      <c r="C173" s="24"/>
      <c r="D173" s="24"/>
      <c r="E173" s="24"/>
      <c r="F173" s="24"/>
      <c r="G173" s="24"/>
      <c r="H173" s="51"/>
      <c r="I173" s="24"/>
      <c r="J173" s="24"/>
      <c r="K173" s="51"/>
      <c r="L173" s="232">
        <f>L209-L220</f>
        <v>0</v>
      </c>
      <c r="M173" s="232">
        <f>M209-M220</f>
        <v>0</v>
      </c>
      <c r="N173" s="232">
        <f>N209-N220</f>
        <v>0</v>
      </c>
      <c r="O173" s="232">
        <f>O209-O220</f>
        <v>0</v>
      </c>
      <c r="P173" s="232">
        <f>P209-P220</f>
        <v>0</v>
      </c>
      <c r="Q173" s="64"/>
    </row>
    <row r="174" spans="2:17" ht="15">
      <c r="B174" s="7" t="str">
        <f>$B$31</f>
        <v>Term Loan A:</v>
      </c>
      <c r="C174" s="18"/>
      <c r="D174" s="18"/>
      <c r="E174" s="18"/>
      <c r="F174" s="18"/>
      <c r="G174" s="18"/>
      <c r="H174" s="17"/>
      <c r="I174" s="18"/>
      <c r="J174" s="18"/>
      <c r="K174" s="17"/>
      <c r="L174" s="262">
        <f>-L214-L221</f>
        <v>-464.17182299801703</v>
      </c>
      <c r="M174" s="262">
        <f>-M214-M221</f>
        <v>-35.8281770020194</v>
      </c>
      <c r="N174" s="262">
        <f>-N214-N221</f>
        <v>9.981704351957887E-10</v>
      </c>
      <c r="O174" s="262">
        <f>-O214-O221</f>
        <v>-9.315499482909217E-10</v>
      </c>
      <c r="P174" s="262">
        <f>-P214-P221</f>
        <v>3.141934143968683E-07</v>
      </c>
      <c r="Q174" s="64"/>
    </row>
    <row r="175" spans="2:17" ht="15">
      <c r="B175" s="7" t="str">
        <f>$B$32</f>
        <v>Term Loan B:</v>
      </c>
      <c r="C175" s="18"/>
      <c r="D175" s="18"/>
      <c r="E175" s="18"/>
      <c r="F175" s="18"/>
      <c r="G175" s="18"/>
      <c r="H175" s="17"/>
      <c r="I175" s="18"/>
      <c r="J175" s="18"/>
      <c r="K175" s="17"/>
      <c r="L175" s="262">
        <f aca="true" t="shared" si="18" ref="L175:P176">-L215-L222</f>
        <v>-25</v>
      </c>
      <c r="M175" s="262">
        <f t="shared" si="18"/>
        <v>-94.02973689928785</v>
      </c>
      <c r="N175" s="262">
        <f t="shared" si="18"/>
        <v>-148.12509504191706</v>
      </c>
      <c r="O175" s="262">
        <f t="shared" si="18"/>
        <v>-167.23285304163005</v>
      </c>
      <c r="P175" s="262">
        <f t="shared" si="18"/>
        <v>-65.61231102379466</v>
      </c>
      <c r="Q175" s="64"/>
    </row>
    <row r="176" spans="2:17" ht="15">
      <c r="B176" s="7" t="str">
        <f>$B$33</f>
        <v>Subordinated Note:</v>
      </c>
      <c r="C176" s="18"/>
      <c r="D176" s="18"/>
      <c r="E176" s="18"/>
      <c r="F176" s="18"/>
      <c r="G176" s="18"/>
      <c r="H176" s="17"/>
      <c r="I176" s="18"/>
      <c r="J176" s="18"/>
      <c r="K176" s="17"/>
      <c r="L176" s="262">
        <f t="shared" si="18"/>
        <v>0</v>
      </c>
      <c r="M176" s="262">
        <f t="shared" si="18"/>
        <v>0</v>
      </c>
      <c r="N176" s="262">
        <f t="shared" si="18"/>
        <v>0</v>
      </c>
      <c r="O176" s="262">
        <f t="shared" si="18"/>
        <v>0</v>
      </c>
      <c r="P176" s="262">
        <f t="shared" si="18"/>
        <v>0</v>
      </c>
      <c r="Q176" s="64"/>
    </row>
    <row r="177" spans="2:17" ht="15">
      <c r="B177" s="171" t="s">
        <v>129</v>
      </c>
      <c r="C177" s="102"/>
      <c r="D177" s="102"/>
      <c r="E177" s="102"/>
      <c r="F177" s="102"/>
      <c r="G177" s="102"/>
      <c r="H177" s="137"/>
      <c r="I177" s="102"/>
      <c r="J177" s="102"/>
      <c r="K177" s="137"/>
      <c r="L177" s="304">
        <f>SUM(L173:L176)</f>
        <v>-489.17182299801703</v>
      </c>
      <c r="M177" s="304">
        <f>SUM(M173:M176)</f>
        <v>-129.85791390130726</v>
      </c>
      <c r="N177" s="304">
        <f>SUM(N173:N176)</f>
        <v>-148.1250950409189</v>
      </c>
      <c r="O177" s="304">
        <f>SUM(O173:O176)</f>
        <v>-167.2328530425616</v>
      </c>
      <c r="P177" s="304">
        <f>SUM(P173:P176)</f>
        <v>-65.61231070960125</v>
      </c>
      <c r="Q177" s="13"/>
    </row>
    <row r="178" spans="2:17" ht="15">
      <c r="B178" s="7"/>
      <c r="C178" s="18"/>
      <c r="D178" s="18"/>
      <c r="E178" s="18"/>
      <c r="H178" s="17"/>
      <c r="I178" s="18"/>
      <c r="J178" s="18"/>
      <c r="K178" s="17"/>
      <c r="L178" s="73"/>
      <c r="M178" s="73"/>
      <c r="N178" s="73"/>
      <c r="O178" s="73"/>
      <c r="P178" s="53"/>
      <c r="Q178" s="64"/>
    </row>
    <row r="179" spans="2:17" ht="15">
      <c r="B179" s="172" t="s">
        <v>130</v>
      </c>
      <c r="C179" s="18"/>
      <c r="D179" s="18"/>
      <c r="E179" s="18"/>
      <c r="F179" s="226"/>
      <c r="G179" s="226"/>
      <c r="H179" s="211"/>
      <c r="I179" s="18"/>
      <c r="J179" s="18"/>
      <c r="K179" s="17"/>
      <c r="L179" s="226">
        <f>L177+L169+L166</f>
        <v>-382.0476244284883</v>
      </c>
      <c r="M179" s="226">
        <f>M177+M169+M166</f>
        <v>-2.0412471712916158E-10</v>
      </c>
      <c r="N179" s="226">
        <f>N177+N169+N166</f>
        <v>5.1862770078514586E-08</v>
      </c>
      <c r="O179" s="226">
        <f>O177+O169+O166</f>
        <v>1.486055452915025E-06</v>
      </c>
      <c r="P179" s="210">
        <f>P177+P169+P166</f>
        <v>120.43273050254692</v>
      </c>
      <c r="Q179" s="13"/>
    </row>
    <row r="180" spans="2:17" ht="15">
      <c r="B180" s="7"/>
      <c r="C180" s="18"/>
      <c r="D180" s="18"/>
      <c r="E180" s="18"/>
      <c r="H180" s="17"/>
      <c r="I180" s="18"/>
      <c r="J180" s="18"/>
      <c r="K180" s="17"/>
      <c r="L180" s="73"/>
      <c r="M180" s="73"/>
      <c r="N180" s="73"/>
      <c r="O180" s="73"/>
      <c r="P180" s="53"/>
      <c r="Q180" s="64"/>
    </row>
    <row r="181" spans="2:17" ht="15">
      <c r="B181" s="7" t="s">
        <v>105</v>
      </c>
      <c r="C181" s="18"/>
      <c r="D181" s="18"/>
      <c r="E181" s="18"/>
      <c r="F181" s="208"/>
      <c r="G181" s="239"/>
      <c r="H181" s="247"/>
      <c r="I181" s="18"/>
      <c r="J181" s="18"/>
      <c r="K181" s="17"/>
      <c r="L181" s="305">
        <f>K107</f>
        <v>432.0476244284883</v>
      </c>
      <c r="M181" s="305">
        <f>L107</f>
        <v>50.00000000001046</v>
      </c>
      <c r="N181" s="305">
        <f>M107</f>
        <v>50.00000000110049</v>
      </c>
      <c r="O181" s="305">
        <f>N107</f>
        <v>50.00000000952994</v>
      </c>
      <c r="P181" s="305">
        <f>O107</f>
        <v>49.99999187291104</v>
      </c>
      <c r="Q181" s="64"/>
    </row>
    <row r="182" spans="2:17" ht="15">
      <c r="B182" s="76" t="s">
        <v>107</v>
      </c>
      <c r="C182" s="19"/>
      <c r="D182" s="19"/>
      <c r="E182" s="19"/>
      <c r="F182" s="234"/>
      <c r="G182" s="234"/>
      <c r="H182" s="261"/>
      <c r="I182" s="19"/>
      <c r="J182" s="19"/>
      <c r="K182" s="94"/>
      <c r="L182" s="233">
        <f>L181+L179</f>
        <v>50</v>
      </c>
      <c r="M182" s="233">
        <f>M181+M179</f>
        <v>49.999999999806334</v>
      </c>
      <c r="N182" s="233">
        <f>N181+N179</f>
        <v>50.00000005296326</v>
      </c>
      <c r="O182" s="233">
        <f>O181+O179</f>
        <v>50.000001495585394</v>
      </c>
      <c r="P182" s="233">
        <f>P181+P179</f>
        <v>170.43272237545796</v>
      </c>
      <c r="Q182" s="65"/>
    </row>
    <row r="184" spans="2:17" ht="15">
      <c r="B184" s="90" t="s">
        <v>108</v>
      </c>
      <c r="C184" s="30"/>
      <c r="D184" s="30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2"/>
    </row>
    <row r="185" spans="2:17" ht="15">
      <c r="B185" s="1"/>
      <c r="C185" s="18"/>
      <c r="D185" s="18"/>
      <c r="E185" s="18"/>
      <c r="F185" s="163"/>
      <c r="G185" s="163"/>
      <c r="H185" s="173"/>
      <c r="I185" s="174"/>
      <c r="J185" s="175"/>
      <c r="K185" s="175"/>
      <c r="L185" s="158" t="str">
        <f>$L$64</f>
        <v>Projected</v>
      </c>
      <c r="M185" s="158"/>
      <c r="N185" s="158"/>
      <c r="O185" s="158"/>
      <c r="P185" s="158"/>
      <c r="Q185" s="198"/>
    </row>
    <row r="186" spans="2:17" ht="15">
      <c r="B186" s="1"/>
      <c r="C186" s="18"/>
      <c r="D186" s="18"/>
      <c r="E186" s="18"/>
      <c r="F186" s="52"/>
      <c r="G186" s="52"/>
      <c r="H186" s="83"/>
      <c r="I186" s="176"/>
      <c r="J186" s="52"/>
      <c r="K186" s="52"/>
      <c r="L186" s="197">
        <f>$L$65</f>
        <v>40939</v>
      </c>
      <c r="M186" s="197">
        <f>$M$65</f>
        <v>41305</v>
      </c>
      <c r="N186" s="197">
        <f>$N$65</f>
        <v>41670</v>
      </c>
      <c r="O186" s="197">
        <f>$O$65</f>
        <v>42035</v>
      </c>
      <c r="P186" s="197">
        <f>$P$65</f>
        <v>42400</v>
      </c>
      <c r="Q186" s="83"/>
    </row>
    <row r="187" spans="2:17" ht="15">
      <c r="B187" s="1"/>
      <c r="C187" s="18"/>
      <c r="D187" s="18"/>
      <c r="E187" s="18"/>
      <c r="F187" s="52"/>
      <c r="G187" s="52"/>
      <c r="H187" s="83"/>
      <c r="I187" s="52"/>
      <c r="J187" s="52"/>
      <c r="K187" s="52"/>
      <c r="L187" s="52"/>
      <c r="M187" s="52"/>
      <c r="N187" s="52"/>
      <c r="O187" s="52"/>
      <c r="P187" s="52"/>
      <c r="Q187" s="83"/>
    </row>
    <row r="188" spans="2:17" ht="15">
      <c r="B188" s="1" t="s">
        <v>137</v>
      </c>
      <c r="C188" s="18"/>
      <c r="D188" s="18"/>
      <c r="E188" s="18"/>
      <c r="F188" s="52"/>
      <c r="G188" s="52"/>
      <c r="H188" s="83"/>
      <c r="I188" s="52"/>
      <c r="J188" s="52"/>
      <c r="K188" s="135"/>
      <c r="L188" s="135">
        <v>0.003</v>
      </c>
      <c r="M188" s="135">
        <v>0.003</v>
      </c>
      <c r="N188" s="135">
        <v>0.005</v>
      </c>
      <c r="O188" s="135">
        <v>0.01</v>
      </c>
      <c r="P188" s="135">
        <v>0.02</v>
      </c>
      <c r="Q188" s="148"/>
    </row>
    <row r="189" spans="2:17" ht="15">
      <c r="B189" s="1"/>
      <c r="C189" s="18"/>
      <c r="D189" s="18"/>
      <c r="E189" s="18"/>
      <c r="F189" s="52"/>
      <c r="G189" s="77" t="s">
        <v>138</v>
      </c>
      <c r="H189" s="83"/>
      <c r="I189" s="52"/>
      <c r="J189" s="52"/>
      <c r="K189" s="52"/>
      <c r="L189" s="52"/>
      <c r="M189" s="52"/>
      <c r="N189" s="52"/>
      <c r="O189" s="52"/>
      <c r="P189" s="52"/>
      <c r="Q189" s="83"/>
    </row>
    <row r="190" spans="2:17" ht="15">
      <c r="B190" s="2" t="s">
        <v>139</v>
      </c>
      <c r="C190" s="18"/>
      <c r="D190" s="18"/>
      <c r="E190" s="18"/>
      <c r="F190" s="79" t="s">
        <v>140</v>
      </c>
      <c r="G190" s="79" t="s">
        <v>64</v>
      </c>
      <c r="H190" s="83"/>
      <c r="I190" s="52"/>
      <c r="J190" s="52"/>
      <c r="K190" s="52"/>
      <c r="L190" s="52"/>
      <c r="M190" s="52"/>
      <c r="N190" s="52"/>
      <c r="O190" s="52"/>
      <c r="P190" s="52"/>
      <c r="Q190" s="83"/>
    </row>
    <row r="191" spans="2:17" ht="15">
      <c r="B191" s="7" t="str">
        <f>$B$30</f>
        <v>Revolver:</v>
      </c>
      <c r="C191" s="18"/>
      <c r="D191" s="18"/>
      <c r="E191" s="18"/>
      <c r="F191" s="177">
        <f>K30/LIBOR_Units</f>
        <v>0.025</v>
      </c>
      <c r="G191" s="52"/>
      <c r="H191" s="83"/>
      <c r="I191" s="52"/>
      <c r="J191" s="52"/>
      <c r="K191" s="179"/>
      <c r="L191" s="179">
        <f>L$188+$F191</f>
        <v>0.028</v>
      </c>
      <c r="M191" s="179">
        <f aca="true" t="shared" si="19" ref="M191:P193">M$188+$F191</f>
        <v>0.028</v>
      </c>
      <c r="N191" s="179">
        <f t="shared" si="19"/>
        <v>0.030000000000000002</v>
      </c>
      <c r="O191" s="179">
        <f t="shared" si="19"/>
        <v>0.035</v>
      </c>
      <c r="P191" s="179">
        <f t="shared" si="19"/>
        <v>0.045</v>
      </c>
      <c r="Q191" s="178"/>
    </row>
    <row r="192" spans="2:17" ht="15">
      <c r="B192" s="7" t="str">
        <f>$B$31</f>
        <v>Term Loan A:</v>
      </c>
      <c r="C192" s="18"/>
      <c r="D192" s="18"/>
      <c r="E192" s="18"/>
      <c r="F192" s="177">
        <f>K31/LIBOR_Units</f>
        <v>0.035</v>
      </c>
      <c r="G192" s="52"/>
      <c r="H192" s="83"/>
      <c r="I192" s="52"/>
      <c r="J192" s="52"/>
      <c r="K192" s="179"/>
      <c r="L192" s="179">
        <f>L$188+$F192</f>
        <v>0.038000000000000006</v>
      </c>
      <c r="M192" s="179">
        <f t="shared" si="19"/>
        <v>0.038000000000000006</v>
      </c>
      <c r="N192" s="179">
        <f t="shared" si="19"/>
        <v>0.04</v>
      </c>
      <c r="O192" s="179">
        <f t="shared" si="19"/>
        <v>0.045000000000000005</v>
      </c>
      <c r="P192" s="179">
        <f t="shared" si="19"/>
        <v>0.05500000000000001</v>
      </c>
      <c r="Q192" s="178"/>
    </row>
    <row r="193" spans="2:17" ht="15">
      <c r="B193" s="7" t="str">
        <f>$B$32</f>
        <v>Term Loan B:</v>
      </c>
      <c r="C193" s="18"/>
      <c r="D193" s="18"/>
      <c r="E193" s="18"/>
      <c r="F193" s="177">
        <f>K32/LIBOR_Units</f>
        <v>0.05</v>
      </c>
      <c r="G193" s="52"/>
      <c r="H193" s="83"/>
      <c r="I193" s="52"/>
      <c r="J193" s="52"/>
      <c r="K193" s="179"/>
      <c r="L193" s="179">
        <f>L$188+$F193</f>
        <v>0.053000000000000005</v>
      </c>
      <c r="M193" s="179">
        <f t="shared" si="19"/>
        <v>0.053000000000000005</v>
      </c>
      <c r="N193" s="179">
        <f t="shared" si="19"/>
        <v>0.055</v>
      </c>
      <c r="O193" s="179">
        <f t="shared" si="19"/>
        <v>0.060000000000000005</v>
      </c>
      <c r="P193" s="179">
        <f t="shared" si="19"/>
        <v>0.07</v>
      </c>
      <c r="Q193" s="178"/>
    </row>
    <row r="194" spans="2:17" ht="15">
      <c r="B194" s="7" t="str">
        <f>$B$33</f>
        <v>Subordinated Note:</v>
      </c>
      <c r="C194" s="18"/>
      <c r="D194" s="18"/>
      <c r="E194" s="18"/>
      <c r="F194" s="177"/>
      <c r="G194" s="177">
        <f>K33</f>
        <v>0.11</v>
      </c>
      <c r="H194" s="83"/>
      <c r="I194" s="52"/>
      <c r="J194" s="52"/>
      <c r="K194" s="179"/>
      <c r="L194" s="179">
        <f>$G194</f>
        <v>0.11</v>
      </c>
      <c r="M194" s="179">
        <f>$G194</f>
        <v>0.11</v>
      </c>
      <c r="N194" s="179">
        <f>$G194</f>
        <v>0.11</v>
      </c>
      <c r="O194" s="179">
        <f>$G194</f>
        <v>0.11</v>
      </c>
      <c r="P194" s="179">
        <f>$G194</f>
        <v>0.11</v>
      </c>
      <c r="Q194" s="178"/>
    </row>
    <row r="195" spans="2:17" ht="15">
      <c r="B195" s="1"/>
      <c r="C195" s="18"/>
      <c r="D195" s="18"/>
      <c r="E195" s="18"/>
      <c r="F195" s="52"/>
      <c r="G195" s="52"/>
      <c r="H195" s="83"/>
      <c r="I195" s="52"/>
      <c r="J195" s="52"/>
      <c r="K195" s="52"/>
      <c r="L195" s="52"/>
      <c r="M195" s="52"/>
      <c r="N195" s="52"/>
      <c r="O195" s="52"/>
      <c r="P195" s="52"/>
      <c r="Q195" s="83"/>
    </row>
    <row r="196" spans="2:17" ht="15">
      <c r="B196" s="10" t="s">
        <v>141</v>
      </c>
      <c r="C196" s="18"/>
      <c r="D196" s="18"/>
      <c r="E196" s="18"/>
      <c r="F196" s="52"/>
      <c r="G196" s="52"/>
      <c r="H196" s="83"/>
      <c r="I196" s="52"/>
      <c r="J196" s="52"/>
      <c r="K196" s="52"/>
      <c r="L196" s="52"/>
      <c r="M196" s="52"/>
      <c r="N196" s="52"/>
      <c r="O196" s="52"/>
      <c r="P196" s="52"/>
      <c r="Q196" s="83"/>
    </row>
    <row r="197" spans="2:17" ht="15">
      <c r="B197" s="7" t="str">
        <f>B191</f>
        <v>Revolver:</v>
      </c>
      <c r="C197" s="18"/>
      <c r="D197" s="18"/>
      <c r="E197" s="18"/>
      <c r="F197" s="52"/>
      <c r="G197" s="52"/>
      <c r="H197" s="83"/>
      <c r="I197" s="52"/>
      <c r="J197" s="52"/>
      <c r="K197" s="52"/>
      <c r="L197" s="259">
        <f>-AVERAGE(K124,L124)*L191</f>
        <v>0</v>
      </c>
      <c r="M197" s="259">
        <f>-AVERAGE(L124,M124)*M191</f>
        <v>0</v>
      </c>
      <c r="N197" s="259">
        <f>-AVERAGE(M124,N124)*N191</f>
        <v>0</v>
      </c>
      <c r="O197" s="259">
        <f>-AVERAGE(N124,O124)*O191</f>
        <v>0</v>
      </c>
      <c r="P197" s="259">
        <f>-AVERAGE(O124,P124)*P191</f>
        <v>0</v>
      </c>
      <c r="Q197" s="57"/>
    </row>
    <row r="198" spans="2:17" ht="15">
      <c r="B198" s="7" t="str">
        <f>B192</f>
        <v>Term Loan A:</v>
      </c>
      <c r="C198" s="18"/>
      <c r="D198" s="18"/>
      <c r="E198" s="18"/>
      <c r="F198" s="52"/>
      <c r="G198" s="52"/>
      <c r="H198" s="83"/>
      <c r="I198" s="52"/>
      <c r="J198" s="52"/>
      <c r="K198" s="52"/>
      <c r="L198" s="239">
        <f aca="true" t="shared" si="20" ref="L198:P200">-AVERAGE(K131,L131)*L192</f>
        <v>-10.180735363037877</v>
      </c>
      <c r="M198" s="239">
        <f t="shared" si="20"/>
        <v>-0.6807353630374345</v>
      </c>
      <c r="N198" s="239">
        <f t="shared" si="20"/>
        <v>-6.710365596518386E-11</v>
      </c>
      <c r="O198" s="239">
        <f t="shared" si="20"/>
        <v>1.9150159857872498E-09</v>
      </c>
      <c r="P198" s="239">
        <f t="shared" si="20"/>
        <v>5.687013953092901E-09</v>
      </c>
      <c r="Q198" s="57"/>
    </row>
    <row r="199" spans="2:17" ht="15">
      <c r="B199" s="7" t="str">
        <f>B193</f>
        <v>Term Loan B:</v>
      </c>
      <c r="C199" s="18"/>
      <c r="D199" s="18"/>
      <c r="E199" s="18"/>
      <c r="F199" s="52"/>
      <c r="G199" s="52"/>
      <c r="H199" s="83"/>
      <c r="I199" s="52"/>
      <c r="J199" s="52"/>
      <c r="K199" s="52"/>
      <c r="L199" s="239">
        <f t="shared" si="20"/>
        <v>-25.837500000000002</v>
      </c>
      <c r="M199" s="239">
        <f t="shared" si="20"/>
        <v>-22.683211972197967</v>
      </c>
      <c r="N199" s="239">
        <f t="shared" si="20"/>
        <v>-16.8799243571428</v>
      </c>
      <c r="O199" s="239">
        <f t="shared" si="20"/>
        <v>-8.9537242516877</v>
      </c>
      <c r="P199" s="239">
        <f t="shared" si="20"/>
        <v>-2.296428285689444</v>
      </c>
      <c r="Q199" s="57"/>
    </row>
    <row r="200" spans="2:17" ht="15">
      <c r="B200" s="7" t="str">
        <f>B194</f>
        <v>Subordinated Note:</v>
      </c>
      <c r="C200" s="18"/>
      <c r="D200" s="18"/>
      <c r="E200" s="18"/>
      <c r="F200" s="52"/>
      <c r="G200" s="52"/>
      <c r="H200" s="83"/>
      <c r="I200" s="52"/>
      <c r="J200" s="52"/>
      <c r="K200" s="52"/>
      <c r="L200" s="239">
        <f t="shared" si="20"/>
        <v>-66</v>
      </c>
      <c r="M200" s="239">
        <f t="shared" si="20"/>
        <v>-66</v>
      </c>
      <c r="N200" s="239">
        <f t="shared" si="20"/>
        <v>-66</v>
      </c>
      <c r="O200" s="239">
        <f t="shared" si="20"/>
        <v>-66</v>
      </c>
      <c r="P200" s="239">
        <f t="shared" si="20"/>
        <v>-66</v>
      </c>
      <c r="Q200" s="57"/>
    </row>
    <row r="201" spans="2:17" ht="15">
      <c r="B201" s="7" t="s">
        <v>142</v>
      </c>
      <c r="C201" s="18"/>
      <c r="D201" s="18"/>
      <c r="E201" s="18"/>
      <c r="F201" s="52"/>
      <c r="G201" s="52"/>
      <c r="H201" s="83"/>
      <c r="I201" s="52"/>
      <c r="J201" s="52"/>
      <c r="K201" s="52"/>
      <c r="L201" s="239">
        <f>AVERAGE(K107,L107)*L188</f>
        <v>0.7230714366427481</v>
      </c>
      <c r="M201" s="239">
        <f>AVERAGE(L107,M107)*M188</f>
        <v>0.1500000000016664</v>
      </c>
      <c r="N201" s="239">
        <f>AVERAGE(M107,N107)*N188</f>
        <v>0.2500000000265761</v>
      </c>
      <c r="O201" s="239">
        <f>AVERAGE(N107,O107)*O188</f>
        <v>0.49999995941220493</v>
      </c>
      <c r="P201" s="239">
        <f>AVERAGE(O107,P107)*P188</f>
        <v>2.2043265730783754</v>
      </c>
      <c r="Q201" s="57"/>
    </row>
    <row r="202" spans="2:17" ht="15">
      <c r="B202" s="11" t="s">
        <v>109</v>
      </c>
      <c r="C202" s="24"/>
      <c r="D202" s="24"/>
      <c r="E202" s="24"/>
      <c r="F202" s="180"/>
      <c r="G202" s="180"/>
      <c r="H202" s="129"/>
      <c r="I202" s="180"/>
      <c r="J202" s="180"/>
      <c r="K202" s="180"/>
      <c r="L202" s="252">
        <f>SUM(L197:L201)</f>
        <v>-101.29516392639513</v>
      </c>
      <c r="M202" s="252">
        <f>SUM(M197:M201)</f>
        <v>-89.21394733523373</v>
      </c>
      <c r="N202" s="252">
        <f>SUM(N197:N201)</f>
        <v>-82.62992435718333</v>
      </c>
      <c r="O202" s="252">
        <f>SUM(O197:O201)</f>
        <v>-74.45372429036047</v>
      </c>
      <c r="P202" s="252">
        <f>SUM(P197:P201)</f>
        <v>-66.09210170692405</v>
      </c>
      <c r="Q202" s="58"/>
    </row>
    <row r="203" spans="2:17" ht="15">
      <c r="B203" s="7"/>
      <c r="C203" s="18"/>
      <c r="D203" s="18"/>
      <c r="E203" s="18"/>
      <c r="F203" s="52"/>
      <c r="G203" s="52"/>
      <c r="H203" s="83"/>
      <c r="I203" s="52"/>
      <c r="J203" s="52"/>
      <c r="K203" s="52"/>
      <c r="L203" s="52"/>
      <c r="M203" s="52"/>
      <c r="N203" s="52"/>
      <c r="O203" s="52"/>
      <c r="P203" s="52"/>
      <c r="Q203" s="83"/>
    </row>
    <row r="204" spans="2:17" ht="15">
      <c r="B204" s="2" t="s">
        <v>143</v>
      </c>
      <c r="C204" s="18"/>
      <c r="D204" s="18"/>
      <c r="E204" s="18"/>
      <c r="F204" s="52"/>
      <c r="G204" s="52"/>
      <c r="H204" s="83"/>
      <c r="I204" s="52"/>
      <c r="J204" s="52"/>
      <c r="K204" s="52"/>
      <c r="L204" s="52"/>
      <c r="M204" s="52"/>
      <c r="N204" s="52"/>
      <c r="O204" s="52"/>
      <c r="P204" s="52"/>
      <c r="Q204" s="83"/>
    </row>
    <row r="205" spans="2:17" ht="15">
      <c r="B205" s="7" t="s">
        <v>105</v>
      </c>
      <c r="C205" s="18"/>
      <c r="D205" s="18"/>
      <c r="E205" s="18"/>
      <c r="F205" s="52"/>
      <c r="G205" s="52"/>
      <c r="H205" s="83"/>
      <c r="I205" s="52"/>
      <c r="J205" s="52"/>
      <c r="K205" s="52"/>
      <c r="L205" s="239">
        <f>K107</f>
        <v>432.0476244284883</v>
      </c>
      <c r="M205" s="239">
        <f>L107</f>
        <v>50.00000000001046</v>
      </c>
      <c r="N205" s="239">
        <f>M107</f>
        <v>50.00000000110049</v>
      </c>
      <c r="O205" s="239">
        <f>N107</f>
        <v>50.00000000952994</v>
      </c>
      <c r="P205" s="239">
        <f>O107</f>
        <v>49.99999187291104</v>
      </c>
      <c r="Q205" s="57"/>
    </row>
    <row r="206" spans="2:17" ht="15">
      <c r="B206" s="7" t="s">
        <v>106</v>
      </c>
      <c r="C206" s="18"/>
      <c r="D206" s="18"/>
      <c r="E206" s="18"/>
      <c r="F206" s="52"/>
      <c r="G206" s="52"/>
      <c r="H206" s="83"/>
      <c r="I206" s="52"/>
      <c r="J206" s="52"/>
      <c r="K206" s="52"/>
      <c r="L206" s="239">
        <f>-Min_Cash</f>
        <v>-50</v>
      </c>
      <c r="M206" s="239">
        <f>-Min_Cash</f>
        <v>-50</v>
      </c>
      <c r="N206" s="239">
        <f>-Min_Cash</f>
        <v>-50</v>
      </c>
      <c r="O206" s="239">
        <f>-Min_Cash</f>
        <v>-50</v>
      </c>
      <c r="P206" s="239">
        <f>-Min_Cash</f>
        <v>-50</v>
      </c>
      <c r="Q206" s="57"/>
    </row>
    <row r="207" spans="2:17" ht="15">
      <c r="B207" s="7" t="s">
        <v>186</v>
      </c>
      <c r="C207" s="18"/>
      <c r="D207" s="18"/>
      <c r="E207" s="18"/>
      <c r="F207" s="52"/>
      <c r="G207" s="52"/>
      <c r="H207" s="83"/>
      <c r="I207" s="52"/>
      <c r="J207" s="52"/>
      <c r="K207" s="52"/>
      <c r="L207" s="239">
        <f>L171</f>
        <v>107.12419856952876</v>
      </c>
      <c r="M207" s="239">
        <f>M171</f>
        <v>129.85791390110313</v>
      </c>
      <c r="N207" s="239">
        <f>N171</f>
        <v>148.12509509278163</v>
      </c>
      <c r="O207" s="239">
        <f>O171</f>
        <v>167.23285452861705</v>
      </c>
      <c r="P207" s="239">
        <f>P171</f>
        <v>186.0450412121482</v>
      </c>
      <c r="Q207" s="57"/>
    </row>
    <row r="208" spans="2:17" ht="15">
      <c r="B208" s="10" t="s">
        <v>144</v>
      </c>
      <c r="C208" s="18"/>
      <c r="D208" s="18"/>
      <c r="E208" s="18"/>
      <c r="F208" s="52"/>
      <c r="G208" s="52"/>
      <c r="H208" s="83"/>
      <c r="I208" s="52"/>
      <c r="J208" s="52"/>
      <c r="K208" s="52"/>
      <c r="L208" s="252">
        <f>SUM(L205:L207)</f>
        <v>489.17182299801703</v>
      </c>
      <c r="M208" s="252">
        <f>SUM(M205:M207)</f>
        <v>129.8579139011136</v>
      </c>
      <c r="N208" s="252">
        <f>SUM(N205:N207)</f>
        <v>148.12509509388212</v>
      </c>
      <c r="O208" s="252">
        <f>SUM(O205:O207)</f>
        <v>167.232854538147</v>
      </c>
      <c r="P208" s="252">
        <f>SUM(P205:P207)</f>
        <v>186.04503308505923</v>
      </c>
      <c r="Q208" s="58"/>
    </row>
    <row r="209" spans="2:17" ht="15">
      <c r="B209" s="7" t="s">
        <v>145</v>
      </c>
      <c r="C209" s="18"/>
      <c r="D209" s="18"/>
      <c r="E209" s="18"/>
      <c r="F209" s="52"/>
      <c r="G209" s="52"/>
      <c r="H209" s="83"/>
      <c r="I209" s="52"/>
      <c r="J209" s="52"/>
      <c r="K209" s="52"/>
      <c r="L209" s="239">
        <f>MAX(0,L217-L208)</f>
        <v>0</v>
      </c>
      <c r="M209" s="239">
        <f>MAX(0,M217-M208)</f>
        <v>0</v>
      </c>
      <c r="N209" s="239">
        <f>MAX(0,N217-N208)</f>
        <v>0</v>
      </c>
      <c r="O209" s="239">
        <f>MAX(0,O217-O208)</f>
        <v>0</v>
      </c>
      <c r="P209" s="239">
        <f>MAX(0,P217-P208)</f>
        <v>0</v>
      </c>
      <c r="Q209" s="57"/>
    </row>
    <row r="210" spans="2:17" ht="15">
      <c r="B210" s="2" t="s">
        <v>146</v>
      </c>
      <c r="C210" s="18"/>
      <c r="D210" s="18"/>
      <c r="E210" s="18"/>
      <c r="F210" s="52"/>
      <c r="G210" s="52"/>
      <c r="H210" s="83"/>
      <c r="I210" s="52"/>
      <c r="J210" s="52"/>
      <c r="K210" s="52"/>
      <c r="L210" s="252">
        <f>L209+L208</f>
        <v>489.17182299801703</v>
      </c>
      <c r="M210" s="252">
        <f>M209+M208</f>
        <v>129.8579139011136</v>
      </c>
      <c r="N210" s="252">
        <f>N209+N208</f>
        <v>148.12509509388212</v>
      </c>
      <c r="O210" s="252">
        <f>O209+O208</f>
        <v>167.232854538147</v>
      </c>
      <c r="P210" s="252">
        <f>P209+P208</f>
        <v>186.04503308505923</v>
      </c>
      <c r="Q210" s="58"/>
    </row>
    <row r="211" spans="2:17" ht="15">
      <c r="B211" s="7"/>
      <c r="C211" s="18"/>
      <c r="D211" s="18"/>
      <c r="E211" s="18"/>
      <c r="F211" s="52"/>
      <c r="G211" s="52"/>
      <c r="H211" s="83"/>
      <c r="I211" s="52"/>
      <c r="J211" s="52"/>
      <c r="K211" s="52"/>
      <c r="L211" s="52"/>
      <c r="M211" s="52"/>
      <c r="N211" s="52"/>
      <c r="O211" s="52"/>
      <c r="P211" s="52"/>
      <c r="Q211" s="83"/>
    </row>
    <row r="212" spans="2:17" ht="15">
      <c r="B212" s="10" t="s">
        <v>147</v>
      </c>
      <c r="C212" s="18"/>
      <c r="D212" s="18"/>
      <c r="E212" s="18"/>
      <c r="F212" s="52"/>
      <c r="G212" s="52"/>
      <c r="H212" s="83"/>
      <c r="I212" s="52"/>
      <c r="J212" s="52"/>
      <c r="K212" s="52"/>
      <c r="L212" s="52"/>
      <c r="M212" s="52"/>
      <c r="N212" s="52"/>
      <c r="O212" s="52"/>
      <c r="P212" s="52"/>
      <c r="Q212" s="83"/>
    </row>
    <row r="213" spans="2:17" ht="15">
      <c r="B213" s="181" t="s">
        <v>148</v>
      </c>
      <c r="C213" s="18"/>
      <c r="D213" s="18"/>
      <c r="E213" s="18"/>
      <c r="F213" s="52"/>
      <c r="G213" s="52"/>
      <c r="H213" s="83"/>
      <c r="I213" s="52"/>
      <c r="J213" s="52"/>
      <c r="K213" s="52"/>
      <c r="L213" s="52"/>
      <c r="M213" s="52"/>
      <c r="N213" s="52"/>
      <c r="O213" s="52"/>
      <c r="P213" s="52"/>
      <c r="Q213" s="83"/>
    </row>
    <row r="214" spans="2:17" ht="15">
      <c r="B214" s="182" t="str">
        <f>B192</f>
        <v>Term Loan A:</v>
      </c>
      <c r="C214" s="18"/>
      <c r="D214" s="18"/>
      <c r="E214" s="18"/>
      <c r="F214" s="52"/>
      <c r="G214" s="52"/>
      <c r="H214" s="83"/>
      <c r="I214" s="52"/>
      <c r="J214" s="52"/>
      <c r="K214" s="52"/>
      <c r="L214" s="239">
        <f aca="true" t="shared" si="21" ref="L214:P216">MIN(K131,$F31*$P31)</f>
        <v>50</v>
      </c>
      <c r="M214" s="239">
        <f t="shared" si="21"/>
        <v>35.828177001993424</v>
      </c>
      <c r="N214" s="239">
        <f t="shared" si="21"/>
        <v>-2.319211489520967E-11</v>
      </c>
      <c r="O214" s="239">
        <f t="shared" si="21"/>
        <v>3.3783749131544027E-09</v>
      </c>
      <c r="P214" s="239">
        <f t="shared" si="21"/>
        <v>-8.849019650369883E-08</v>
      </c>
      <c r="Q214" s="57"/>
    </row>
    <row r="215" spans="2:17" ht="15">
      <c r="B215" s="182" t="str">
        <f>B193</f>
        <v>Term Loan B:</v>
      </c>
      <c r="C215" s="18"/>
      <c r="D215" s="18"/>
      <c r="E215" s="18"/>
      <c r="F215" s="52"/>
      <c r="G215" s="52"/>
      <c r="H215" s="83"/>
      <c r="I215" s="52"/>
      <c r="J215" s="52"/>
      <c r="K215" s="52"/>
      <c r="L215" s="239">
        <f t="shared" si="21"/>
        <v>25</v>
      </c>
      <c r="M215" s="239">
        <f t="shared" si="21"/>
        <v>25</v>
      </c>
      <c r="N215" s="239">
        <f t="shared" si="21"/>
        <v>25</v>
      </c>
      <c r="O215" s="239">
        <f t="shared" si="21"/>
        <v>25</v>
      </c>
      <c r="P215" s="239">
        <f t="shared" si="21"/>
        <v>25</v>
      </c>
      <c r="Q215" s="57"/>
    </row>
    <row r="216" spans="2:17" ht="15">
      <c r="B216" s="182" t="str">
        <f>B194</f>
        <v>Subordinated Note:</v>
      </c>
      <c r="C216" s="18"/>
      <c r="D216" s="18"/>
      <c r="E216" s="18"/>
      <c r="F216" s="52"/>
      <c r="G216" s="52"/>
      <c r="H216" s="83"/>
      <c r="I216" s="52"/>
      <c r="J216" s="52"/>
      <c r="K216" s="52"/>
      <c r="L216" s="239">
        <f t="shared" si="21"/>
        <v>0</v>
      </c>
      <c r="M216" s="239">
        <f t="shared" si="21"/>
        <v>0</v>
      </c>
      <c r="N216" s="239">
        <f t="shared" si="21"/>
        <v>0</v>
      </c>
      <c r="O216" s="239">
        <f t="shared" si="21"/>
        <v>0</v>
      </c>
      <c r="P216" s="239">
        <f t="shared" si="21"/>
        <v>0</v>
      </c>
      <c r="Q216" s="57"/>
    </row>
    <row r="217" spans="2:17" ht="15">
      <c r="B217" s="10" t="s">
        <v>149</v>
      </c>
      <c r="C217" s="18"/>
      <c r="D217" s="18"/>
      <c r="E217" s="18"/>
      <c r="F217" s="52"/>
      <c r="G217" s="52"/>
      <c r="H217" s="83"/>
      <c r="I217" s="52"/>
      <c r="J217" s="52"/>
      <c r="K217" s="52"/>
      <c r="L217" s="252">
        <f>SUM(L214:L216)</f>
        <v>75</v>
      </c>
      <c r="M217" s="252">
        <f>SUM(M214:M216)</f>
        <v>60.828177001993424</v>
      </c>
      <c r="N217" s="252">
        <f>SUM(N214:N216)</f>
        <v>24.999999999976808</v>
      </c>
      <c r="O217" s="252">
        <f>SUM(O214:O216)</f>
        <v>25.000000003378375</v>
      </c>
      <c r="P217" s="252">
        <f>SUM(P214:P216)</f>
        <v>24.999999911509803</v>
      </c>
      <c r="Q217" s="58"/>
    </row>
    <row r="218" spans="2:17" ht="15">
      <c r="B218" s="7"/>
      <c r="C218" s="18"/>
      <c r="D218" s="18"/>
      <c r="E218" s="18"/>
      <c r="F218" s="52"/>
      <c r="G218" s="52"/>
      <c r="H218" s="83"/>
      <c r="I218" s="52"/>
      <c r="J218" s="52"/>
      <c r="K218" s="52"/>
      <c r="L218" s="52"/>
      <c r="M218" s="52"/>
      <c r="N218" s="52"/>
      <c r="O218" s="52"/>
      <c r="P218" s="52"/>
      <c r="Q218" s="83"/>
    </row>
    <row r="219" spans="2:17" ht="15">
      <c r="B219" s="181" t="s">
        <v>150</v>
      </c>
      <c r="C219" s="18"/>
      <c r="D219" s="18"/>
      <c r="E219" s="18"/>
      <c r="F219" s="52"/>
      <c r="G219" s="52"/>
      <c r="H219" s="83"/>
      <c r="I219" s="52"/>
      <c r="J219" s="52"/>
      <c r="K219" s="52"/>
      <c r="L219" s="303"/>
      <c r="M219" s="52"/>
      <c r="N219" s="52"/>
      <c r="O219" s="52"/>
      <c r="P219" s="52"/>
      <c r="Q219" s="83"/>
    </row>
    <row r="220" spans="2:17" ht="15">
      <c r="B220" s="182" t="str">
        <f>B197</f>
        <v>Revolver:</v>
      </c>
      <c r="C220" s="18"/>
      <c r="D220" s="18"/>
      <c r="E220" s="18"/>
      <c r="F220" s="52"/>
      <c r="G220" s="52"/>
      <c r="H220" s="83"/>
      <c r="I220" s="52"/>
      <c r="J220" s="52"/>
      <c r="K220" s="52"/>
      <c r="L220" s="239">
        <f>MAX(MIN(K124,L$208-SUM(L$217:L219)),0)</f>
        <v>0</v>
      </c>
      <c r="M220" s="239">
        <f>MAX(MIN(L124,M$208-SUM(M$217:M219)),0)</f>
        <v>0</v>
      </c>
      <c r="N220" s="239">
        <f>MAX(MIN(M124,N$208-SUM(N$217:N219)),0)</f>
        <v>0</v>
      </c>
      <c r="O220" s="239">
        <f>MAX(MIN(N124,O$208-SUM(O$217:O219)),0)</f>
        <v>0</v>
      </c>
      <c r="P220" s="239">
        <f>MAX(MIN(O124,P$208-SUM(P$217:P219)),0)</f>
        <v>0</v>
      </c>
      <c r="Q220" s="57"/>
    </row>
    <row r="221" spans="2:17" ht="15">
      <c r="B221" s="182" t="str">
        <f>B198</f>
        <v>Term Loan A:</v>
      </c>
      <c r="C221" s="18"/>
      <c r="D221" s="18"/>
      <c r="E221" s="18"/>
      <c r="F221" s="52"/>
      <c r="G221" s="52"/>
      <c r="H221" s="83"/>
      <c r="I221" s="52"/>
      <c r="J221" s="52"/>
      <c r="K221" s="52"/>
      <c r="L221" s="239">
        <f>MAX(MIN(K131-L214,L$208-SUM(L$217:L220)),0)</f>
        <v>414.17182299801703</v>
      </c>
      <c r="M221" s="239">
        <f>MAX(MIN(L131-M214,M$208-SUM(M$217:M220)),0)</f>
        <v>0</v>
      </c>
      <c r="N221" s="239">
        <f>MAX(MIN(M131-N214,N$208-SUM(N$217:N220)),0)</f>
        <v>0</v>
      </c>
      <c r="O221" s="239">
        <f>MAX(MIN(N131-O214,O$208-SUM(O$217:O220)),0)</f>
        <v>0</v>
      </c>
      <c r="P221" s="239">
        <f>MAX(MIN(O131-P214,P$208-SUM(P$217:P220)),0)</f>
        <v>0</v>
      </c>
      <c r="Q221" s="57"/>
    </row>
    <row r="222" spans="2:17" ht="15">
      <c r="B222" s="182" t="str">
        <f>B199</f>
        <v>Term Loan B:</v>
      </c>
      <c r="C222" s="18"/>
      <c r="D222" s="18"/>
      <c r="E222" s="18"/>
      <c r="F222" s="52"/>
      <c r="G222" s="52"/>
      <c r="H222" s="83"/>
      <c r="I222" s="52"/>
      <c r="J222" s="52"/>
      <c r="K222" s="52"/>
      <c r="L222" s="239">
        <f>MAX(MIN(K132-L215,L$208-SUM(L$217:L221)),0)</f>
        <v>0</v>
      </c>
      <c r="M222" s="239">
        <f>MAX(MIN(L132-M215,M$208-SUM(M$217:M221)),0)</f>
        <v>69.02973689912017</v>
      </c>
      <c r="N222" s="239">
        <f>MAX(MIN(M132-N215,N$208-SUM(N$217:N221)),0)</f>
        <v>123.12509509390532</v>
      </c>
      <c r="O222" s="239">
        <f>MAX(MIN(N132-O215,O$208-SUM(O$217:O221)),0)</f>
        <v>142.23285453476862</v>
      </c>
      <c r="P222" s="239">
        <f>MAX(MIN(O132-P215,P$208-SUM(P$217:P221)),0)</f>
        <v>40.61230698923728</v>
      </c>
      <c r="Q222" s="57"/>
    </row>
    <row r="223" spans="2:17" ht="15">
      <c r="B223" s="182" t="str">
        <f>B200</f>
        <v>Subordinated Note:</v>
      </c>
      <c r="C223" s="18"/>
      <c r="D223" s="18"/>
      <c r="E223" s="18"/>
      <c r="F223" s="52"/>
      <c r="G223" s="52"/>
      <c r="H223" s="83"/>
      <c r="I223" s="52"/>
      <c r="J223" s="52"/>
      <c r="K223" s="52"/>
      <c r="L223" s="208">
        <v>0</v>
      </c>
      <c r="M223" s="239">
        <f>L223</f>
        <v>0</v>
      </c>
      <c r="N223" s="239">
        <f>M223</f>
        <v>0</v>
      </c>
      <c r="O223" s="239">
        <f>N223</f>
        <v>0</v>
      </c>
      <c r="P223" s="239">
        <f>O223</f>
        <v>0</v>
      </c>
      <c r="Q223" s="57"/>
    </row>
    <row r="224" spans="2:17" ht="15">
      <c r="B224" s="10" t="s">
        <v>151</v>
      </c>
      <c r="C224" s="18"/>
      <c r="D224" s="18"/>
      <c r="E224" s="18"/>
      <c r="F224" s="52"/>
      <c r="G224" s="52"/>
      <c r="H224" s="83"/>
      <c r="I224" s="52"/>
      <c r="J224" s="52"/>
      <c r="K224" s="52"/>
      <c r="L224" s="252">
        <f>SUM(L220:L223)</f>
        <v>414.17182299801703</v>
      </c>
      <c r="M224" s="252">
        <f>SUM(M220:M223)</f>
        <v>69.02973689912017</v>
      </c>
      <c r="N224" s="252">
        <f>SUM(N220:N223)</f>
        <v>123.12509509390532</v>
      </c>
      <c r="O224" s="252">
        <f>SUM(O220:O223)</f>
        <v>142.23285453476862</v>
      </c>
      <c r="P224" s="252">
        <f>SUM(P220:P223)</f>
        <v>40.61230698923728</v>
      </c>
      <c r="Q224" s="58"/>
    </row>
    <row r="225" spans="2:17" ht="15">
      <c r="B225" s="7"/>
      <c r="C225" s="18"/>
      <c r="D225" s="18"/>
      <c r="E225" s="18"/>
      <c r="F225" s="52"/>
      <c r="G225" s="52"/>
      <c r="H225" s="83"/>
      <c r="I225" s="52"/>
      <c r="J225" s="52"/>
      <c r="K225" s="52"/>
      <c r="L225" s="52"/>
      <c r="M225" s="52"/>
      <c r="N225" s="52"/>
      <c r="O225" s="52"/>
      <c r="P225" s="52"/>
      <c r="Q225" s="83"/>
    </row>
    <row r="226" spans="2:17" ht="15">
      <c r="B226" s="9" t="s">
        <v>152</v>
      </c>
      <c r="C226" s="18"/>
      <c r="D226" s="18"/>
      <c r="E226" s="18"/>
      <c r="F226" s="52"/>
      <c r="G226" s="52"/>
      <c r="H226" s="83"/>
      <c r="I226" s="52"/>
      <c r="J226" s="52"/>
      <c r="K226" s="52"/>
      <c r="L226" s="245">
        <f>MAX(L208-L217-L224,0)</f>
        <v>0</v>
      </c>
      <c r="M226" s="245">
        <f>MAX(M208-M217-M224,0)</f>
        <v>0</v>
      </c>
      <c r="N226" s="245">
        <f>MAX(N208-N217-N224,0)</f>
        <v>0</v>
      </c>
      <c r="O226" s="245">
        <f>MAX(O208-O217-O224,0)</f>
        <v>0</v>
      </c>
      <c r="P226" s="245">
        <f>MAX(P208-P217-P224,0)</f>
        <v>120.43272618431214</v>
      </c>
      <c r="Q226" s="58"/>
    </row>
    <row r="227" spans="2:17" ht="15">
      <c r="B227" s="5" t="s">
        <v>153</v>
      </c>
      <c r="C227" s="19"/>
      <c r="D227" s="19"/>
      <c r="E227" s="19"/>
      <c r="F227" s="28"/>
      <c r="G227" s="28"/>
      <c r="H227" s="29"/>
      <c r="I227" s="28"/>
      <c r="J227" s="28"/>
      <c r="K227" s="28"/>
      <c r="L227" s="301">
        <f>L226+L224+L217</f>
        <v>489.17182299801703</v>
      </c>
      <c r="M227" s="301">
        <f>M226+M224+M217</f>
        <v>129.8579139011136</v>
      </c>
      <c r="N227" s="301">
        <f>N226+N224+N217</f>
        <v>148.12509509388212</v>
      </c>
      <c r="O227" s="301">
        <f>O226+O224+O217</f>
        <v>167.232854538147</v>
      </c>
      <c r="P227" s="301">
        <f>P226+P224+P217</f>
        <v>186.04503308505923</v>
      </c>
      <c r="Q227" s="61"/>
    </row>
    <row r="229" spans="2:17" ht="15">
      <c r="B229" s="90" t="s">
        <v>110</v>
      </c>
      <c r="C229" s="30"/>
      <c r="D229" s="30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2"/>
    </row>
    <row r="230" spans="2:17" ht="15">
      <c r="B230" s="1"/>
      <c r="C230" s="18"/>
      <c r="D230" s="18"/>
      <c r="E230" s="18"/>
      <c r="F230" s="52"/>
      <c r="G230" s="52"/>
      <c r="H230" s="83"/>
      <c r="I230" s="28"/>
      <c r="J230" s="28"/>
      <c r="K230" s="306">
        <f>$K$65</f>
        <v>40574</v>
      </c>
      <c r="L230" s="307">
        <f>$L$65</f>
        <v>40939</v>
      </c>
      <c r="M230" s="308">
        <f>$M$65</f>
        <v>41305</v>
      </c>
      <c r="N230" s="308">
        <f>$N$65</f>
        <v>41670</v>
      </c>
      <c r="O230" s="308">
        <f>$O$65</f>
        <v>42035</v>
      </c>
      <c r="P230" s="308">
        <f>$P$65</f>
        <v>42400</v>
      </c>
      <c r="Q230" s="83"/>
    </row>
    <row r="231" spans="2:17" ht="15">
      <c r="B231" s="1"/>
      <c r="C231" s="18"/>
      <c r="D231" s="18"/>
      <c r="E231" s="18"/>
      <c r="F231" s="18"/>
      <c r="G231" s="18"/>
      <c r="H231" s="17"/>
      <c r="I231" s="18"/>
      <c r="J231" s="18"/>
      <c r="K231" s="17"/>
      <c r="L231" s="18"/>
      <c r="M231" s="18"/>
      <c r="N231" s="18"/>
      <c r="O231" s="18"/>
      <c r="P231" s="18"/>
      <c r="Q231" s="17"/>
    </row>
    <row r="232" spans="2:17" ht="15">
      <c r="B232" s="1" t="s">
        <v>46</v>
      </c>
      <c r="C232" s="18"/>
      <c r="D232" s="18"/>
      <c r="E232" s="18"/>
      <c r="F232" s="18"/>
      <c r="G232" s="18"/>
      <c r="H232" s="17"/>
      <c r="I232" s="53"/>
      <c r="J232" s="53"/>
      <c r="K232" s="266">
        <f>H100</f>
        <v>348</v>
      </c>
      <c r="L232" s="18"/>
      <c r="M232" s="18"/>
      <c r="N232" s="18"/>
      <c r="O232" s="18"/>
      <c r="P232" s="268">
        <f>P100</f>
        <v>442.67645958414255</v>
      </c>
      <c r="Q232" s="64"/>
    </row>
    <row r="233" spans="2:17" ht="15">
      <c r="B233" s="1" t="s">
        <v>111</v>
      </c>
      <c r="C233" s="18"/>
      <c r="D233" s="18"/>
      <c r="E233" s="18"/>
      <c r="F233" s="18"/>
      <c r="G233" s="18"/>
      <c r="H233" s="17"/>
      <c r="I233" s="145"/>
      <c r="J233" s="145"/>
      <c r="K233" s="84">
        <f>J10</f>
        <v>7.491103061526542</v>
      </c>
      <c r="L233" s="18"/>
      <c r="M233" s="18"/>
      <c r="N233" s="18"/>
      <c r="O233" s="18"/>
      <c r="P233" s="191">
        <f>O7</f>
        <v>7</v>
      </c>
      <c r="Q233" s="138"/>
    </row>
    <row r="234" spans="2:17" ht="15">
      <c r="B234" s="1" t="s">
        <v>50</v>
      </c>
      <c r="C234" s="18"/>
      <c r="D234" s="18"/>
      <c r="E234" s="18"/>
      <c r="F234" s="18"/>
      <c r="G234" s="18"/>
      <c r="H234" s="17"/>
      <c r="I234" s="53"/>
      <c r="J234" s="53"/>
      <c r="K234" s="267">
        <f>J9</f>
        <v>2606.9038654112364</v>
      </c>
      <c r="L234" s="18"/>
      <c r="M234" s="18"/>
      <c r="N234" s="18"/>
      <c r="O234" s="18"/>
      <c r="P234" s="262">
        <f>P233*P232</f>
        <v>3098.735217088998</v>
      </c>
      <c r="Q234" s="64"/>
    </row>
    <row r="235" spans="2:17" ht="15">
      <c r="B235" s="1" t="s">
        <v>98</v>
      </c>
      <c r="C235" s="18"/>
      <c r="D235" s="18"/>
      <c r="E235" s="18"/>
      <c r="F235" s="18"/>
      <c r="G235" s="18"/>
      <c r="H235" s="17"/>
      <c r="I235" s="53"/>
      <c r="J235" s="53"/>
      <c r="K235" s="267">
        <f>-F42</f>
        <v>-1464.095657309244</v>
      </c>
      <c r="L235" s="208">
        <v>0</v>
      </c>
      <c r="M235" s="208">
        <v>0</v>
      </c>
      <c r="N235" s="208">
        <v>0</v>
      </c>
      <c r="O235" s="208">
        <v>0</v>
      </c>
      <c r="P235" s="262">
        <f>P234-P124-P130-P131-P132-P133+P107</f>
        <v>2669.1679528974882</v>
      </c>
      <c r="Q235" s="64"/>
    </row>
    <row r="236" spans="2:17" ht="15">
      <c r="B236" s="1"/>
      <c r="C236" s="18"/>
      <c r="D236" s="18"/>
      <c r="E236" s="18"/>
      <c r="F236" s="18"/>
      <c r="G236" s="18"/>
      <c r="H236" s="17"/>
      <c r="I236" s="18"/>
      <c r="J236" s="18"/>
      <c r="K236" s="17"/>
      <c r="L236" s="18"/>
      <c r="M236" s="18"/>
      <c r="N236" s="18"/>
      <c r="O236" s="18"/>
      <c r="P236" s="18"/>
      <c r="Q236" s="17"/>
    </row>
    <row r="237" spans="2:17" ht="15">
      <c r="B237" s="5" t="s">
        <v>112</v>
      </c>
      <c r="C237" s="19"/>
      <c r="D237" s="19"/>
      <c r="E237" s="19"/>
      <c r="F237" s="19"/>
      <c r="G237" s="19"/>
      <c r="H237" s="94"/>
      <c r="I237" s="184"/>
      <c r="J237" s="184"/>
      <c r="K237" s="139">
        <f>IRR(K235:P235)</f>
        <v>0.12761615666893092</v>
      </c>
      <c r="L237" s="19"/>
      <c r="M237" s="19"/>
      <c r="N237" s="19"/>
      <c r="O237" s="19"/>
      <c r="P237" s="19"/>
      <c r="Q237" s="94"/>
    </row>
    <row r="239" spans="2:15" ht="15">
      <c r="B239" s="27" t="s">
        <v>113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</row>
    <row r="240" spans="2:15" ht="15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</row>
    <row r="241" spans="2:17" ht="15">
      <c r="B241" s="108"/>
      <c r="C241" s="109"/>
      <c r="D241" s="109"/>
      <c r="E241" s="110" t="s">
        <v>115</v>
      </c>
      <c r="F241" s="110"/>
      <c r="G241" s="110"/>
      <c r="H241" s="110"/>
      <c r="I241" s="110"/>
      <c r="J241" s="110"/>
      <c r="K241" s="110"/>
      <c r="L241" s="110"/>
      <c r="M241" s="111"/>
      <c r="N241" s="185"/>
      <c r="O241" s="185"/>
      <c r="P241" s="185"/>
      <c r="Q241" s="185"/>
    </row>
    <row r="242" spans="2:17" ht="15">
      <c r="B242" s="112"/>
      <c r="C242" s="113"/>
      <c r="D242" s="140">
        <f>$K$237</f>
        <v>0.12761615666893092</v>
      </c>
      <c r="E242" s="144">
        <v>3</v>
      </c>
      <c r="F242" s="144">
        <f>E242+1</f>
        <v>4</v>
      </c>
      <c r="G242" s="144">
        <f aca="true" t="shared" si="22" ref="G242:M242">F242+1</f>
        <v>5</v>
      </c>
      <c r="H242" s="144">
        <f t="shared" si="22"/>
        <v>6</v>
      </c>
      <c r="I242" s="144">
        <f t="shared" si="22"/>
        <v>7</v>
      </c>
      <c r="J242" s="144">
        <f t="shared" si="22"/>
        <v>8</v>
      </c>
      <c r="K242" s="144">
        <f t="shared" si="22"/>
        <v>9</v>
      </c>
      <c r="L242" s="144">
        <f t="shared" si="22"/>
        <v>10</v>
      </c>
      <c r="M242" s="186">
        <f t="shared" si="22"/>
        <v>11</v>
      </c>
      <c r="N242" s="95"/>
      <c r="O242" s="95"/>
      <c r="P242" s="95"/>
      <c r="Q242" s="95"/>
    </row>
    <row r="243" spans="2:17" ht="15">
      <c r="B243" s="337" t="s">
        <v>114</v>
      </c>
      <c r="C243" s="114">
        <f aca="true" t="shared" si="23" ref="C243:C252">(1+D243)*$E$8</f>
        <v>54.592499999999994</v>
      </c>
      <c r="D243" s="143">
        <f aca="true" t="shared" si="24" ref="D243:D250">D244+5%</f>
        <v>0.44999999999999996</v>
      </c>
      <c r="E243" s="115" t="e">
        <f t="dataTable" ref="E243:M252" dt2D="1" dtr="1" r1="O7" r2="E9"/>
        <v>#NUM!</v>
      </c>
      <c r="F243" s="116">
        <v>-0.13689717817742222</v>
      </c>
      <c r="G243" s="116">
        <v>-0.06390675670363787</v>
      </c>
      <c r="H243" s="116">
        <v>-0.008423986397569314</v>
      </c>
      <c r="I243" s="317">
        <v>0.036858532623375864</v>
      </c>
      <c r="J243" s="116">
        <v>0.07538361441394623</v>
      </c>
      <c r="K243" s="116">
        <v>0.10906817576670437</v>
      </c>
      <c r="L243" s="116">
        <v>0.1390970728302442</v>
      </c>
      <c r="M243" s="117">
        <v>0.16625745080635243</v>
      </c>
      <c r="N243" s="187"/>
      <c r="O243" s="187"/>
      <c r="P243" s="187"/>
      <c r="Q243" s="187"/>
    </row>
    <row r="244" spans="2:17" ht="15">
      <c r="B244" s="337"/>
      <c r="C244" s="114">
        <f t="shared" si="23"/>
        <v>52.709999999999994</v>
      </c>
      <c r="D244" s="143">
        <f t="shared" si="24"/>
        <v>0.39999999999999997</v>
      </c>
      <c r="E244" s="118" t="e">
        <v>#NUM!</v>
      </c>
      <c r="F244" s="119">
        <v>-0.11592082348732054</v>
      </c>
      <c r="G244" s="119">
        <v>-0.04638611596409822</v>
      </c>
      <c r="H244" s="119">
        <v>0.007320986641060247</v>
      </c>
      <c r="I244" s="315">
        <v>0.05154167350455243</v>
      </c>
      <c r="J244" s="119">
        <v>0.08937424924385777</v>
      </c>
      <c r="K244" s="119">
        <v>0.12258158193364804</v>
      </c>
      <c r="L244" s="119">
        <v>0.15226923881701035</v>
      </c>
      <c r="M244" s="120">
        <v>0.17917940632296364</v>
      </c>
      <c r="N244" s="187"/>
      <c r="O244" s="187"/>
      <c r="P244" s="187"/>
      <c r="Q244" s="187"/>
    </row>
    <row r="245" spans="2:17" ht="15">
      <c r="B245" s="337"/>
      <c r="C245" s="114">
        <f t="shared" si="23"/>
        <v>50.8275</v>
      </c>
      <c r="D245" s="143">
        <f t="shared" si="24"/>
        <v>0.35</v>
      </c>
      <c r="E245" s="118">
        <v>-0.19037450389386598</v>
      </c>
      <c r="F245" s="119">
        <v>-0.09538187348728751</v>
      </c>
      <c r="G245" s="119">
        <v>-0.028876475049074205</v>
      </c>
      <c r="H245" s="119">
        <v>0.02322423898970666</v>
      </c>
      <c r="I245" s="315">
        <v>0.0664693836107941</v>
      </c>
      <c r="J245" s="119">
        <v>0.10366070010627357</v>
      </c>
      <c r="K245" s="119">
        <v>0.13642460506111878</v>
      </c>
      <c r="L245" s="119">
        <v>0.1657950991133464</v>
      </c>
      <c r="M245" s="120">
        <v>0.19247324441140604</v>
      </c>
      <c r="N245" s="187"/>
      <c r="O245" s="187"/>
      <c r="P245" s="187"/>
      <c r="Q245" s="187"/>
    </row>
    <row r="246" spans="2:17" ht="15">
      <c r="B246" s="337"/>
      <c r="C246" s="114">
        <f t="shared" si="23"/>
        <v>48.945</v>
      </c>
      <c r="D246" s="143">
        <f t="shared" si="24"/>
        <v>0.3</v>
      </c>
      <c r="E246" s="118">
        <v>-0.1638865071415836</v>
      </c>
      <c r="F246" s="119">
        <v>-0.07513987649280982</v>
      </c>
      <c r="G246" s="119">
        <v>-0.011308040836022083</v>
      </c>
      <c r="H246" s="119">
        <v>0.03933585044639163</v>
      </c>
      <c r="I246" s="315">
        <v>0.0816844095501075</v>
      </c>
      <c r="J246" s="119">
        <v>0.11828255529669156</v>
      </c>
      <c r="K246" s="119">
        <v>0.15063538790661096</v>
      </c>
      <c r="L246" s="119">
        <v>0.17971215070495886</v>
      </c>
      <c r="M246" s="120">
        <v>0.20617622488050213</v>
      </c>
      <c r="N246" s="187"/>
      <c r="O246" s="187"/>
      <c r="P246" s="187"/>
      <c r="Q246" s="187"/>
    </row>
    <row r="247" spans="2:17" ht="15">
      <c r="B247" s="337"/>
      <c r="C247" s="114">
        <f t="shared" si="23"/>
        <v>47.0625</v>
      </c>
      <c r="D247" s="143">
        <f t="shared" si="24"/>
        <v>0.25</v>
      </c>
      <c r="E247" s="118">
        <v>-0.13861890765320392</v>
      </c>
      <c r="F247" s="119">
        <v>-0.05510338724493306</v>
      </c>
      <c r="G247" s="119">
        <v>0.006362911257942085</v>
      </c>
      <c r="H247" s="119">
        <v>0.0556876068008346</v>
      </c>
      <c r="I247" s="315">
        <v>0.09721527295769838</v>
      </c>
      <c r="J247" s="119">
        <v>0.13326780273779715</v>
      </c>
      <c r="K247" s="119">
        <v>0.1652423627000664</v>
      </c>
      <c r="L247" s="119">
        <v>0.19404963204770784</v>
      </c>
      <c r="M247" s="120">
        <v>0.22031851264252603</v>
      </c>
      <c r="N247" s="187"/>
      <c r="O247" s="187"/>
      <c r="P247" s="187"/>
      <c r="Q247" s="187"/>
    </row>
    <row r="248" spans="2:17" ht="15">
      <c r="B248" s="337"/>
      <c r="C248" s="114">
        <f t="shared" si="23"/>
        <v>45.18</v>
      </c>
      <c r="D248" s="143">
        <f t="shared" si="24"/>
        <v>0.2</v>
      </c>
      <c r="E248" s="118">
        <v>-0.11424992000049644</v>
      </c>
      <c r="F248" s="119">
        <v>-0.035170390596714354</v>
      </c>
      <c r="G248" s="119">
        <v>0.02419638860030567</v>
      </c>
      <c r="H248" s="119">
        <v>0.07232707212625115</v>
      </c>
      <c r="I248" s="315">
        <v>0.1131051560826188</v>
      </c>
      <c r="J248" s="119">
        <v>0.14865808336537917</v>
      </c>
      <c r="K248" s="119">
        <v>0.18028679424840852</v>
      </c>
      <c r="L248" s="119">
        <v>0.20884895566907766</v>
      </c>
      <c r="M248" s="120">
        <v>0.23494191500168052</v>
      </c>
      <c r="N248" s="187"/>
      <c r="O248" s="187"/>
      <c r="P248" s="187"/>
      <c r="Q248" s="187"/>
    </row>
    <row r="249" spans="2:17" ht="15">
      <c r="B249" s="337"/>
      <c r="C249" s="114">
        <f t="shared" si="23"/>
        <v>43.29749999999999</v>
      </c>
      <c r="D249" s="143">
        <f t="shared" si="24"/>
        <v>0.15000000000000002</v>
      </c>
      <c r="E249" s="314">
        <v>-0.09044679943295987</v>
      </c>
      <c r="F249" s="315">
        <v>-0.015186974089276056</v>
      </c>
      <c r="G249" s="315">
        <v>0.04230099196235368</v>
      </c>
      <c r="H249" s="315">
        <v>0.08934502175558807</v>
      </c>
      <c r="I249" s="315">
        <v>0.12943598335983325</v>
      </c>
      <c r="J249" s="315">
        <v>0.16453026733899673</v>
      </c>
      <c r="K249" s="315">
        <v>0.1958423960368733</v>
      </c>
      <c r="L249" s="315">
        <v>0.22418174307872238</v>
      </c>
      <c r="M249" s="316">
        <v>0.25011661122458734</v>
      </c>
      <c r="N249" s="187"/>
      <c r="O249" s="187"/>
      <c r="P249" s="187"/>
      <c r="Q249" s="187"/>
    </row>
    <row r="250" spans="2:17" ht="15">
      <c r="B250" s="337"/>
      <c r="C250" s="114">
        <f t="shared" si="23"/>
        <v>41.415</v>
      </c>
      <c r="D250" s="143">
        <f t="shared" si="24"/>
        <v>0.1</v>
      </c>
      <c r="E250" s="118">
        <v>-0.06699420249515282</v>
      </c>
      <c r="F250" s="119">
        <v>0.0049487455734868666</v>
      </c>
      <c r="G250" s="119">
        <v>0.06075145387785348</v>
      </c>
      <c r="H250" s="119">
        <v>0.10680706887729104</v>
      </c>
      <c r="I250" s="315">
        <v>0.14626982791718424</v>
      </c>
      <c r="J250" s="119">
        <v>0.1809450431150316</v>
      </c>
      <c r="K250" s="119">
        <v>0.2119694297658194</v>
      </c>
      <c r="L250" s="119">
        <v>0.24010829596848265</v>
      </c>
      <c r="M250" s="120">
        <v>0.26590318414072434</v>
      </c>
      <c r="N250" s="187"/>
      <c r="O250" s="187"/>
      <c r="P250" s="187"/>
      <c r="Q250" s="187"/>
    </row>
    <row r="251" spans="2:17" ht="15">
      <c r="B251" s="337"/>
      <c r="C251" s="114">
        <f t="shared" si="23"/>
        <v>39.5325</v>
      </c>
      <c r="D251" s="143">
        <f>D252+5%</f>
        <v>0.05</v>
      </c>
      <c r="E251" s="118">
        <v>-0.043885088134370795</v>
      </c>
      <c r="F251" s="119">
        <v>0.025202513993612542</v>
      </c>
      <c r="G251" s="119">
        <v>0.0795170530487191</v>
      </c>
      <c r="H251" s="119">
        <v>0.12469177568161288</v>
      </c>
      <c r="I251" s="315">
        <v>0.16359439324080588</v>
      </c>
      <c r="J251" s="119">
        <v>0.19789814239137365</v>
      </c>
      <c r="K251" s="119">
        <v>0.22867052597673918</v>
      </c>
      <c r="L251" s="119">
        <v>0.25663717984189355</v>
      </c>
      <c r="M251" s="120">
        <v>0.2823153450084105</v>
      </c>
      <c r="N251" s="187"/>
      <c r="O251" s="187"/>
      <c r="P251" s="187"/>
      <c r="Q251" s="187"/>
    </row>
    <row r="252" spans="2:17" ht="15">
      <c r="B252" s="338"/>
      <c r="C252" s="141">
        <f t="shared" si="23"/>
        <v>37.65</v>
      </c>
      <c r="D252" s="142">
        <v>0</v>
      </c>
      <c r="E252" s="121">
        <v>-0.02079362378168696</v>
      </c>
      <c r="F252" s="122">
        <v>0.045792638307794196</v>
      </c>
      <c r="G252" s="122">
        <v>0.09877520289271545</v>
      </c>
      <c r="H252" s="122">
        <v>0.1431557644760258</v>
      </c>
      <c r="I252" s="127">
        <v>0.18155390459695403</v>
      </c>
      <c r="J252" s="122">
        <v>0.21552564372696975</v>
      </c>
      <c r="K252" s="122">
        <v>0.246076056993798</v>
      </c>
      <c r="L252" s="122">
        <v>0.27389458999127686</v>
      </c>
      <c r="M252" s="123">
        <v>0.2994761332507293</v>
      </c>
      <c r="N252" s="187"/>
      <c r="O252" s="187"/>
      <c r="P252" s="187"/>
      <c r="Q252" s="187"/>
    </row>
    <row r="254" ht="15">
      <c r="B254" s="27" t="s">
        <v>154</v>
      </c>
    </row>
    <row r="256" spans="2:17" ht="15">
      <c r="B256" s="108"/>
      <c r="C256" s="109"/>
      <c r="D256" s="109"/>
      <c r="E256" s="110" t="s">
        <v>177</v>
      </c>
      <c r="F256" s="110"/>
      <c r="G256" s="110"/>
      <c r="H256" s="110"/>
      <c r="I256" s="110"/>
      <c r="J256" s="110"/>
      <c r="K256" s="110"/>
      <c r="L256" s="110"/>
      <c r="M256" s="111"/>
      <c r="N256" s="188"/>
      <c r="O256" s="185"/>
      <c r="P256" s="185"/>
      <c r="Q256" s="185"/>
    </row>
    <row r="257" spans="2:17" ht="15">
      <c r="B257" s="112"/>
      <c r="C257" s="113"/>
      <c r="D257" s="140">
        <f>$K$237</f>
        <v>0.12761615666893092</v>
      </c>
      <c r="E257" s="318">
        <v>0.4</v>
      </c>
      <c r="F257" s="318">
        <f>E257+5%</f>
        <v>0.45</v>
      </c>
      <c r="G257" s="318">
        <f aca="true" t="shared" si="25" ref="G257:M257">F257+5%</f>
        <v>0.5</v>
      </c>
      <c r="H257" s="318">
        <f t="shared" si="25"/>
        <v>0.55</v>
      </c>
      <c r="I257" s="318">
        <f t="shared" si="25"/>
        <v>0.6000000000000001</v>
      </c>
      <c r="J257" s="318">
        <f t="shared" si="25"/>
        <v>0.6500000000000001</v>
      </c>
      <c r="K257" s="318">
        <f t="shared" si="25"/>
        <v>0.7000000000000002</v>
      </c>
      <c r="L257" s="318">
        <f t="shared" si="25"/>
        <v>0.7500000000000002</v>
      </c>
      <c r="M257" s="318">
        <f t="shared" si="25"/>
        <v>0.8000000000000003</v>
      </c>
      <c r="N257" s="146"/>
      <c r="O257" s="95"/>
      <c r="P257" s="95"/>
      <c r="Q257" s="95"/>
    </row>
    <row r="258" spans="2:17" ht="15">
      <c r="B258" s="337" t="s">
        <v>114</v>
      </c>
      <c r="C258" s="114">
        <f aca="true" t="shared" si="26" ref="C258:D267">C243</f>
        <v>54.592499999999994</v>
      </c>
      <c r="D258" s="143">
        <f t="shared" si="26"/>
        <v>0.44999999999999996</v>
      </c>
      <c r="E258" s="115">
        <f t="dataTable" ref="E258:M267" dt2D="1" dtr="1" r1="E11" r2="E9"/>
        <v>0.03857336401766622</v>
      </c>
      <c r="F258" s="116">
        <v>0.038479873513786005</v>
      </c>
      <c r="G258" s="116">
        <v>0.038235086305752335</v>
      </c>
      <c r="H258" s="116">
        <v>0.03775837543826632</v>
      </c>
      <c r="I258" s="317">
        <v>0.03706954893921675</v>
      </c>
      <c r="J258" s="116">
        <v>0.03627677249629554</v>
      </c>
      <c r="K258" s="116">
        <v>0.03536983429313385</v>
      </c>
      <c r="L258" s="116">
        <v>0.034356110779876624</v>
      </c>
      <c r="M258" s="117">
        <v>0.03317801083855239</v>
      </c>
      <c r="N258" s="118"/>
      <c r="O258" s="119"/>
      <c r="P258" s="119"/>
      <c r="Q258" s="119"/>
    </row>
    <row r="259" spans="2:17" ht="15">
      <c r="B259" s="337"/>
      <c r="C259" s="114">
        <f t="shared" si="26"/>
        <v>52.709999999999994</v>
      </c>
      <c r="D259" s="143">
        <f t="shared" si="26"/>
        <v>0.39999999999999997</v>
      </c>
      <c r="E259" s="118">
        <v>0.04907892207498007</v>
      </c>
      <c r="F259" s="119">
        <v>0.04976143350852725</v>
      </c>
      <c r="G259" s="119">
        <v>0.050413072553421555</v>
      </c>
      <c r="H259" s="119">
        <v>0.05090705400774557</v>
      </c>
      <c r="I259" s="315">
        <v>0.05140319942520987</v>
      </c>
      <c r="J259" s="119">
        <v>0.051949193440299156</v>
      </c>
      <c r="K259" s="119">
        <v>0.052684382003509514</v>
      </c>
      <c r="L259" s="119">
        <v>0.05365727749013009</v>
      </c>
      <c r="M259" s="120">
        <v>0.054979335895114674</v>
      </c>
      <c r="N259" s="118"/>
      <c r="O259" s="119"/>
      <c r="P259" s="119"/>
      <c r="Q259" s="119"/>
    </row>
    <row r="260" spans="2:17" ht="15">
      <c r="B260" s="337"/>
      <c r="C260" s="114">
        <f t="shared" si="26"/>
        <v>50.8275</v>
      </c>
      <c r="D260" s="143">
        <f t="shared" si="26"/>
        <v>0.35</v>
      </c>
      <c r="E260" s="118">
        <v>0.05993102836932632</v>
      </c>
      <c r="F260" s="119">
        <v>0.06138053344488417</v>
      </c>
      <c r="G260" s="119">
        <v>0.06285440006341933</v>
      </c>
      <c r="H260" s="119">
        <v>0.06435289599167601</v>
      </c>
      <c r="I260" s="315">
        <v>0.06599492154385832</v>
      </c>
      <c r="J260" s="119">
        <v>0.06784714053884609</v>
      </c>
      <c r="K260" s="119">
        <v>0.07011991536392054</v>
      </c>
      <c r="L260" s="119">
        <v>0.07294696829393336</v>
      </c>
      <c r="M260" s="120">
        <v>0.07657892760765474</v>
      </c>
      <c r="N260" s="118"/>
      <c r="O260" s="119"/>
      <c r="P260" s="119"/>
      <c r="Q260" s="119"/>
    </row>
    <row r="261" spans="2:17" ht="15">
      <c r="B261" s="337"/>
      <c r="C261" s="114">
        <f t="shared" si="26"/>
        <v>48.945</v>
      </c>
      <c r="D261" s="143">
        <f t="shared" si="26"/>
        <v>0.3</v>
      </c>
      <c r="E261" s="118">
        <v>0.07116163146938383</v>
      </c>
      <c r="F261" s="119">
        <v>0.07337025315570192</v>
      </c>
      <c r="G261" s="119">
        <v>0.07563609372419175</v>
      </c>
      <c r="H261" s="119">
        <v>0.07813312374218945</v>
      </c>
      <c r="I261" s="315">
        <v>0.08088110294026053</v>
      </c>
      <c r="J261" s="119">
        <v>0.08399742337431741</v>
      </c>
      <c r="K261" s="119">
        <v>0.08772823331915598</v>
      </c>
      <c r="L261" s="119">
        <v>0.09232293415483657</v>
      </c>
      <c r="M261" s="120">
        <v>0.09810025516372352</v>
      </c>
      <c r="N261" s="118"/>
      <c r="O261" s="119"/>
      <c r="P261" s="119"/>
      <c r="Q261" s="119"/>
    </row>
    <row r="262" spans="2:17" ht="15">
      <c r="B262" s="337"/>
      <c r="C262" s="114">
        <f t="shared" si="26"/>
        <v>47.0625</v>
      </c>
      <c r="D262" s="143">
        <f t="shared" si="26"/>
        <v>0.25</v>
      </c>
      <c r="E262" s="118">
        <v>0.08280668856256145</v>
      </c>
      <c r="F262" s="119">
        <v>0.08570606273359291</v>
      </c>
      <c r="G262" s="119">
        <v>0.08881580103870848</v>
      </c>
      <c r="H262" s="119">
        <v>0.092288836441219</v>
      </c>
      <c r="I262" s="315">
        <v>0.09607497426720049</v>
      </c>
      <c r="J262" s="119">
        <v>0.10044630089013365</v>
      </c>
      <c r="K262" s="119">
        <v>0.10558650192617326</v>
      </c>
      <c r="L262" s="119">
        <v>0.11185193999561452</v>
      </c>
      <c r="M262" s="120">
        <v>0.11961756893807618</v>
      </c>
      <c r="N262" s="118"/>
      <c r="O262" s="119"/>
      <c r="P262" s="119"/>
      <c r="Q262" s="119"/>
    </row>
    <row r="263" spans="2:17" ht="15">
      <c r="B263" s="337"/>
      <c r="C263" s="114">
        <f t="shared" si="26"/>
        <v>45.18</v>
      </c>
      <c r="D263" s="143">
        <f t="shared" si="26"/>
        <v>0.2</v>
      </c>
      <c r="E263" s="118">
        <v>0.09490687527008829</v>
      </c>
      <c r="F263" s="119">
        <v>0.09848206891340994</v>
      </c>
      <c r="G263" s="119">
        <v>0.10243507756218447</v>
      </c>
      <c r="H263" s="119">
        <v>0.10679789357058359</v>
      </c>
      <c r="I263" s="315">
        <v>0.11166352687914846</v>
      </c>
      <c r="J263" s="119">
        <v>0.11725104533446308</v>
      </c>
      <c r="K263" s="119">
        <v>0.12375384312264692</v>
      </c>
      <c r="L263" s="119">
        <v>0.13159015261035084</v>
      </c>
      <c r="M263" s="120">
        <v>0.1412525898008801</v>
      </c>
      <c r="N263" s="118"/>
      <c r="O263" s="119"/>
      <c r="P263" s="119"/>
      <c r="Q263" s="119"/>
    </row>
    <row r="264" spans="2:17" ht="15">
      <c r="B264" s="337"/>
      <c r="C264" s="114">
        <f t="shared" si="26"/>
        <v>43.29749999999999</v>
      </c>
      <c r="D264" s="143">
        <f t="shared" si="26"/>
        <v>0.15000000000000002</v>
      </c>
      <c r="E264" s="314">
        <v>0.10746857667878634</v>
      </c>
      <c r="F264" s="315">
        <v>0.11175571182443031</v>
      </c>
      <c r="G264" s="315">
        <v>0.11654289707722887</v>
      </c>
      <c r="H264" s="315">
        <v>0.12176316531072559</v>
      </c>
      <c r="I264" s="315">
        <v>0.1277012306446636</v>
      </c>
      <c r="J264" s="315">
        <v>0.13442963392012597</v>
      </c>
      <c r="K264" s="315">
        <v>0.1422818177809369</v>
      </c>
      <c r="L264" s="315">
        <v>0.15163712085347741</v>
      </c>
      <c r="M264" s="316">
        <v>0.16308637876551751</v>
      </c>
      <c r="N264" s="118"/>
      <c r="O264" s="119"/>
      <c r="P264" s="119"/>
      <c r="Q264" s="119"/>
    </row>
    <row r="265" spans="2:17" ht="15">
      <c r="B265" s="337"/>
      <c r="C265" s="114">
        <f t="shared" si="26"/>
        <v>41.415</v>
      </c>
      <c r="D265" s="143">
        <f t="shared" si="26"/>
        <v>0.1</v>
      </c>
      <c r="E265" s="118">
        <v>0.12056578712628169</v>
      </c>
      <c r="F265" s="119">
        <v>0.12558106367751856</v>
      </c>
      <c r="G265" s="119">
        <v>0.13111729558892238</v>
      </c>
      <c r="H265" s="119">
        <v>0.13726051823813876</v>
      </c>
      <c r="I265" s="315">
        <v>0.14421141975107712</v>
      </c>
      <c r="J265" s="119">
        <v>0.15207597891753355</v>
      </c>
      <c r="K265" s="119">
        <v>0.1612489136905466</v>
      </c>
      <c r="L265" s="119">
        <v>0.17206699614649018</v>
      </c>
      <c r="M265" s="120">
        <v>0.18519711676577236</v>
      </c>
      <c r="N265" s="118"/>
      <c r="O265" s="119"/>
      <c r="P265" s="119"/>
      <c r="Q265" s="119"/>
    </row>
    <row r="266" spans="2:17" ht="15">
      <c r="B266" s="337"/>
      <c r="C266" s="114">
        <f t="shared" si="26"/>
        <v>39.5325</v>
      </c>
      <c r="D266" s="143">
        <f t="shared" si="26"/>
        <v>0.05</v>
      </c>
      <c r="E266" s="118">
        <v>0.1342783860424438</v>
      </c>
      <c r="F266" s="119">
        <v>0.14002029127255267</v>
      </c>
      <c r="G266" s="119">
        <v>0.14629396308431847</v>
      </c>
      <c r="H266" s="119">
        <v>0.1533558712876552</v>
      </c>
      <c r="I266" s="315">
        <v>0.1612409161527956</v>
      </c>
      <c r="J266" s="119">
        <v>0.1702752643116228</v>
      </c>
      <c r="K266" s="119">
        <v>0.18067817261378386</v>
      </c>
      <c r="L266" s="119">
        <v>0.1929530622676458</v>
      </c>
      <c r="M266" s="120">
        <v>0.20772369172474547</v>
      </c>
      <c r="N266" s="118"/>
      <c r="O266" s="119"/>
      <c r="P266" s="119"/>
      <c r="Q266" s="119"/>
    </row>
    <row r="267" spans="2:17" ht="15">
      <c r="B267" s="338"/>
      <c r="C267" s="141">
        <f t="shared" si="26"/>
        <v>37.65</v>
      </c>
      <c r="D267" s="142">
        <f t="shared" si="26"/>
        <v>0</v>
      </c>
      <c r="E267" s="121">
        <v>0.14867698159829776</v>
      </c>
      <c r="F267" s="122">
        <v>0.1550882599488745</v>
      </c>
      <c r="G267" s="122">
        <v>0.16215326803300842</v>
      </c>
      <c r="H267" s="122">
        <v>0.1700660209232438</v>
      </c>
      <c r="I267" s="127">
        <v>0.1789305985951122</v>
      </c>
      <c r="J267" s="122">
        <v>0.18906372920867362</v>
      </c>
      <c r="K267" s="122">
        <v>0.20070001054489559</v>
      </c>
      <c r="L267" s="122">
        <v>0.21439023652486117</v>
      </c>
      <c r="M267" s="123">
        <v>0.23073763641538605</v>
      </c>
      <c r="N267" s="118"/>
      <c r="O267" s="119"/>
      <c r="P267" s="119"/>
      <c r="Q267" s="119"/>
    </row>
  </sheetData>
  <sheetProtection/>
  <mergeCells count="2">
    <mergeCell ref="B243:B252"/>
    <mergeCell ref="B258:B267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BIWS</dc:creator>
  <cp:keywords/>
  <dc:description/>
  <cp:lastModifiedBy>David</cp:lastModifiedBy>
  <cp:lastPrinted>2010-12-09T03:25:37Z</cp:lastPrinted>
  <dcterms:created xsi:type="dcterms:W3CDTF">2009-06-26T05:31:17Z</dcterms:created>
  <dcterms:modified xsi:type="dcterms:W3CDTF">2011-01-07T23:34:35Z</dcterms:modified>
  <cp:category/>
  <cp:version/>
  <cp:contentType/>
  <cp:contentStatus/>
</cp:coreProperties>
</file>