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6810" activeTab="1"/>
  </bookViews>
  <sheets>
    <sheet name="Instructions" sheetId="1" r:id="rId1"/>
    <sheet name="Case-Study-Part-1-Completed" sheetId="2" r:id="rId2"/>
  </sheets>
  <externalReferences>
    <externalReference r:id="rId5"/>
  </externalReferences>
  <definedNames>
    <definedName name="_xlfn.IFERROR" hidden="1">#NAME?</definedName>
    <definedName name="Company_Name" localSheetId="0">'[1]Case-Study-Part-1-Blank'!$E$7</definedName>
    <definedName name="Company_Name">'Case-Study-Part-1-Completed'!$E$7</definedName>
    <definedName name="Hist_Year" localSheetId="0">'[1]Case-Study-Part-1-Blank'!$J$7</definedName>
    <definedName name="Hist_Year">'Case-Study-Part-1-Completed'!$J$7</definedName>
  </definedNames>
  <calcPr calcMode="autoNoTable" fullCalcOnLoad="1" iterate="1" iterateCount="100" iterateDelta="0.001"/>
</workbook>
</file>

<file path=xl/sharedStrings.xml><?xml version="1.0" encoding="utf-8"?>
<sst xmlns="http://schemas.openxmlformats.org/spreadsheetml/2006/main" count="88" uniqueCount="83">
  <si>
    <t>Gross Profit:</t>
  </si>
  <si>
    <t>Operating Income:</t>
  </si>
  <si>
    <t>Pre-Tax Income:</t>
  </si>
  <si>
    <t>Income Tax Provision:</t>
  </si>
  <si>
    <t>Current Assets:</t>
  </si>
  <si>
    <t>Total Current Assets:</t>
  </si>
  <si>
    <t>Total Assets:</t>
  </si>
  <si>
    <t>Net Income:</t>
  </si>
  <si>
    <t>Cash &amp; Cash-Equivalents:</t>
  </si>
  <si>
    <t>Total Liabilities &amp; SE:</t>
  </si>
  <si>
    <t>Income Statement</t>
  </si>
  <si>
    <t>Balance Sheet</t>
  </si>
  <si>
    <t>Other Assets:</t>
  </si>
  <si>
    <t>Long-Term Assets:</t>
  </si>
  <si>
    <t>Assets:</t>
  </si>
  <si>
    <t>Liabilities &amp; Shareholders' Equity:</t>
  </si>
  <si>
    <t>Current Liabilities:</t>
  </si>
  <si>
    <t>Accounts Payable:</t>
  </si>
  <si>
    <t>Total Current Liabilities:</t>
  </si>
  <si>
    <t>Long-Term Liabilities:</t>
  </si>
  <si>
    <t>Other Long-Term Liabilities:</t>
  </si>
  <si>
    <t>Total Liabilities:</t>
  </si>
  <si>
    <t>Shareholders' Equity:</t>
  </si>
  <si>
    <t>Treasury Stock:</t>
  </si>
  <si>
    <t>Retained Earnings:</t>
  </si>
  <si>
    <t>Total Shareholders' Equity:</t>
  </si>
  <si>
    <t>Cash Flow Statement</t>
  </si>
  <si>
    <t>Changes in Operating Assets &amp; Liabilities:</t>
  </si>
  <si>
    <t>Other Liabilities:</t>
  </si>
  <si>
    <t>Cash Flow from Operations:</t>
  </si>
  <si>
    <t>Capital Expenditures:</t>
  </si>
  <si>
    <t>Cash Flow from Investing:</t>
  </si>
  <si>
    <t>Operating Assumptions</t>
  </si>
  <si>
    <t>Company Name:</t>
  </si>
  <si>
    <t>COGS % Revenue:</t>
  </si>
  <si>
    <t>Revenue:</t>
  </si>
  <si>
    <t>Cost of Goods Sold:</t>
  </si>
  <si>
    <t>SG&amp;A % Revenue:</t>
  </si>
  <si>
    <t>Historical</t>
  </si>
  <si>
    <t>Inventory % COGS:</t>
  </si>
  <si>
    <t>Accounts Payable % COGS:</t>
  </si>
  <si>
    <t>CapEx % Revenue:</t>
  </si>
  <si>
    <t>Effective Tax Rate:</t>
  </si>
  <si>
    <t>BALANCE CHECK:</t>
  </si>
  <si>
    <t>Revenue Growth %:</t>
  </si>
  <si>
    <t>EBITDA:</t>
  </si>
  <si>
    <t>Projected</t>
  </si>
  <si>
    <t>Transaction Assumptions</t>
  </si>
  <si>
    <t>Interest Income / (Expense):</t>
  </si>
  <si>
    <t>Beginning Cash Balance:</t>
  </si>
  <si>
    <t>Ending Cash Balance:</t>
  </si>
  <si>
    <t>Existing Long-Term Debt:</t>
  </si>
  <si>
    <t>Net Change in Cash &amp; Cash Equivalents:</t>
  </si>
  <si>
    <t>J.Crew Group, Inc.</t>
  </si>
  <si>
    <t>($ in Millions Except Per Share Data)</t>
  </si>
  <si>
    <t>Transaction Close Date:</t>
  </si>
  <si>
    <t>Depreciation &amp; Amortization:</t>
  </si>
  <si>
    <t>D&amp;A % Revenue:</t>
  </si>
  <si>
    <t>Merchandise Inventories:</t>
  </si>
  <si>
    <t>Prepaid Expenses &amp; Other:</t>
  </si>
  <si>
    <t>Net PP&amp;E:</t>
  </si>
  <si>
    <t>Total Long-Term Assets:</t>
  </si>
  <si>
    <t>Other Current Liabilities:</t>
  </si>
  <si>
    <t>Total Long-Term Liabilities:</t>
  </si>
  <si>
    <t>Common Stock &amp; APIC:</t>
  </si>
  <si>
    <t>Accounts Payable &amp; Other:</t>
  </si>
  <si>
    <t>Prepaid Expenses &amp; Other % SG&amp;A:</t>
  </si>
  <si>
    <t>Other Liabilities % SG&amp;A:</t>
  </si>
  <si>
    <t>SG&amp;A Expense:</t>
  </si>
  <si>
    <t>Private Equity Interview Case Study – Part 1</t>
  </si>
  <si>
    <t>In this case study, you’ll analyze the recent $3.0 billion buyout of J. Crew by TPG and Leonard Green. Announced on November 23, 2010, the deal represented a rebound in the LBO and debt markets and was one of the larger deals since the start of the credit crunch in mid-2007.</t>
  </si>
  <si>
    <t>J. Crew is a specialty retailer with over 300 retail stores in the US. It sells higher-end clothing and accessories via its stores and directly via mail order and its website.</t>
  </si>
  <si>
    <t>In part 1 of this case study, you’ll use the historical income statement and balance sheet in the attached Excel file to create a 5-year projection model for J. Crew. In part 2, you’ll modify it to create an LBO model instead.</t>
  </si>
  <si>
    <t>Part 1 – Assumptions</t>
  </si>
  <si>
    <t>Please use the following assumptions for part 1 of this case study:</t>
  </si>
  <si>
    <t>* Assume that revenue growth is 12% in 2012, falling to 11% in 2013, 10% in 2014, 9% in 2015, and 8% in 2016.</t>
  </si>
  <si>
    <t>* Assume that gross margins, operating margins, and tax rates stay in-line with historical averages.</t>
  </si>
  <si>
    <t>* Assume no interest income or interest expense in this first part of the case study.</t>
  </si>
  <si>
    <t>* J. Crew’s existing debt should remain the same each year. There will be no financing activities such as dividends, stock issuances or repurchases, additional debt, and so on.</t>
  </si>
  <si>
    <t>* Capital expenditures and working capital items as percentages of income statement line items should also remain in-line with historical averages.</t>
  </si>
  <si>
    <t>* Assume that Other Assets under Long-Term Assets and Other Long-Term Liabilities under Long-Term Liabilities stay constant each year.</t>
  </si>
  <si>
    <t>Part 1 – Activity</t>
  </si>
  <si>
    <t>Complete the 3-statement model of J. Crew using these assumptions, and then check your work against the “Completed” Excel file.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</si>
</sst>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00_);[Red]\(&quot;$&quot;#,##0.0000\)"/>
    <numFmt numFmtId="167" formatCode="&quot;$&quot;#,##0.00"/>
    <numFmt numFmtId="168" formatCode="0.0%;[Red]\(0.0%\)"/>
    <numFmt numFmtId="169" formatCode="&quot;$&quot;#,##0.000_);[Red]\(&quot;$&quot;#,##0.000\)"/>
    <numFmt numFmtId="170" formatCode="&quot;$&quot;#,##0.000"/>
    <numFmt numFmtId="171" formatCode="0.0;[Red]\(0.0\)"/>
    <numFmt numFmtId="172" formatCode="&quot;$&quot;#,##0.0_);[Red]\(&quot;$&quot;#,##0.0\)"/>
    <numFmt numFmtId="173" formatCode="&quot;$&quot;#,##0_);\(&quot;$&quot;#,##0\);&quot;OK!&quot;;&quot;ERROR&quot;"/>
    <numFmt numFmtId="174" formatCode="&quot;$&quot;#,##0.0"/>
    <numFmt numFmtId="175" formatCode="&quot;$&quot;#,##0.0_);\(&quot;$&quot;#,##0.0\)"/>
    <numFmt numFmtId="176" formatCode="&quot;$&quot;#,##0.0000"/>
    <numFmt numFmtId="177" formatCode="&quot;$&quot;#,##0.000_);\(&quot;$&quot;#,##0.000\)"/>
    <numFmt numFmtId="178" formatCode="[$-409]dddd\,\ mmmm\ dd\,\ yyyy"/>
    <numFmt numFmtId="179" formatCode="0.0\ \x;[Red]\ 0.0\ \x"/>
    <numFmt numFmtId="180" formatCode="0.0"/>
    <numFmt numFmtId="181" formatCode="#,##0.0"/>
    <numFmt numFmtId="182" formatCode="#,##0.000"/>
    <numFmt numFmtId="183" formatCode="&quot;$&quot;#,##0.00000_);[Red]\(&quot;$&quot;#,##0.00000\)"/>
    <numFmt numFmtId="184" formatCode="_(&quot;$&quot;* #,##0.0_);_(&quot;$&quot;* \(#,##0.0\);_(&quot;$&quot;* &quot;-&quot;?_);_(@_)"/>
    <numFmt numFmtId="185" formatCode="_(* #,##0.0_);_(* \(#,##0.0\);_(* &quot;-&quot;?_);_(@_)"/>
    <numFmt numFmtId="186" formatCode="0.0\ \x"/>
    <numFmt numFmtId="187" formatCode="#,##0.00000"/>
    <numFmt numFmtId="188" formatCode="[$¥-411]#,##0.00"/>
    <numFmt numFmtId="189" formatCode="[$¥-411]#,##0"/>
    <numFmt numFmtId="190" formatCode="[$¥-411]#,##0.0"/>
    <numFmt numFmtId="191" formatCode="[$HKD]\ #,##0.0"/>
    <numFmt numFmtId="192" formatCode="m/d/yyyy;@"/>
    <numFmt numFmtId="193" formatCode="0.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%;\(0.00%\)"/>
    <numFmt numFmtId="199" formatCode="0.0%;\(0.0%\)"/>
    <numFmt numFmtId="200" formatCode="0.0;\(0.0%\)"/>
    <numFmt numFmtId="201" formatCode="&quot;L + &quot;\ ##"/>
    <numFmt numFmtId="202" formatCode="&quot;L + &quot;\ 0.0%"/>
    <numFmt numFmtId="203" formatCode="&quot;L + &quot;\ ##.##"/>
    <numFmt numFmtId="204" formatCode="0.0\ \x;[Red]\ \(0.0\ \x\)"/>
    <numFmt numFmtId="205" formatCode="[$-409]h:mm:ss\ AM/PM"/>
    <numFmt numFmtId="206" formatCode="&quot;no&quot;;&quot;yes&quot;"/>
    <numFmt numFmtId="207" formatCode="&quot;no&quot;;;&quot;yes&quot;"/>
    <numFmt numFmtId="208" formatCode="&quot;yes&quot;;;&quot;no&quot;"/>
    <numFmt numFmtId="209" formatCode="&quot;Yes&quot;;;&quot;No&quot;"/>
    <numFmt numFmtId="210" formatCode="0.00\ \x"/>
    <numFmt numFmtId="211" formatCode="0.00\ \x;[Red]\ 0.00\ \x"/>
    <numFmt numFmtId="212" formatCode="#,##0.0_);[Red]\(#,##0.0\)"/>
    <numFmt numFmtId="213" formatCode="0.000%"/>
    <numFmt numFmtId="214" formatCode="0.000000000000000%"/>
    <numFmt numFmtId="215" formatCode="_(&quot;$&quot;* #,##0_);[Red]_(&quot;$&quot;* \(#,##0\);_(&quot;$&quot;* &quot;-&quot;_);_(@_)"/>
    <numFmt numFmtId="216" formatCode="_(* #,##0_);[Red]_(* \(#,##0\);_(* &quot;-&quot;_);_(@_)"/>
    <numFmt numFmtId="217" formatCode="_(&quot;$&quot;* #,##0.00_);[Red]_(&quot;$&quot;* \(#,##0.00\);_(&quot;$&quot;* &quot;-&quot;??_);_(@_)"/>
    <numFmt numFmtId="218" formatCode="_(* #,##0.00_);[Red]_(* \(#,##0.00\);_(* &quot;-&quot;??_);_(@_)"/>
    <numFmt numFmtId="219" formatCode="\$#,##0.00"/>
    <numFmt numFmtId="220" formatCode="0.0000%"/>
    <numFmt numFmtId="221" formatCode="yyyy"/>
    <numFmt numFmtId="222" formatCode="_(* #,##0.000_);_(* \(#,##0.000\);_(* &quot;-&quot;???_);_(@_)"/>
    <numFmt numFmtId="223" formatCode="_(&quot;$&quot;* #,##0.000_);_(&quot;$&quot;* \(#,##0.000\);_(&quot;$&quot;* &quot;-&quot;?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9"/>
      <name val="Arial"/>
      <family val="2"/>
    </font>
    <font>
      <u val="single"/>
      <sz val="10"/>
      <color indexed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i/>
      <sz val="11"/>
      <color indexed="17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b/>
      <i/>
      <sz val="11"/>
      <name val="Calibri"/>
      <family val="2"/>
    </font>
    <font>
      <b/>
      <i/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00B05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i/>
      <sz val="11"/>
      <color rgb="FF00B050"/>
      <name val="Calibri"/>
      <family val="2"/>
    </font>
    <font>
      <sz val="11"/>
      <color theme="4"/>
      <name val="Calibri"/>
      <family val="2"/>
    </font>
    <font>
      <b/>
      <sz val="11"/>
      <color theme="4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0" fillId="0" borderId="0" xfId="0" applyBorder="1" applyAlignment="1">
      <alignment horizontal="centerContinuous"/>
    </xf>
    <xf numFmtId="0" fontId="49" fillId="0" borderId="12" xfId="0" applyFont="1" applyBorder="1" applyAlignment="1">
      <alignment/>
    </xf>
    <xf numFmtId="165" fontId="23" fillId="0" borderId="13" xfId="0" applyNumberFormat="1" applyFont="1" applyBorder="1" applyAlignment="1">
      <alignment/>
    </xf>
    <xf numFmtId="0" fontId="0" fillId="0" borderId="10" xfId="0" applyBorder="1" applyAlignment="1">
      <alignment horizontal="left" indent="1"/>
    </xf>
    <xf numFmtId="0" fontId="0" fillId="0" borderId="10" xfId="0" applyBorder="1" applyAlignment="1">
      <alignment horizontal="left"/>
    </xf>
    <xf numFmtId="0" fontId="49" fillId="0" borderId="10" xfId="0" applyFont="1" applyBorder="1" applyAlignment="1">
      <alignment horizontal="left" indent="1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168" fontId="51" fillId="0" borderId="0" xfId="0" applyNumberFormat="1" applyFont="1" applyBorder="1" applyAlignment="1">
      <alignment/>
    </xf>
    <xf numFmtId="6" fontId="49" fillId="0" borderId="14" xfId="0" applyNumberFormat="1" applyFont="1" applyBorder="1" applyAlignment="1">
      <alignment/>
    </xf>
    <xf numFmtId="168" fontId="25" fillId="0" borderId="0" xfId="0" applyNumberFormat="1" applyFont="1" applyBorder="1" applyAlignment="1">
      <alignment/>
    </xf>
    <xf numFmtId="6" fontId="23" fillId="0" borderId="0" xfId="0" applyNumberFormat="1" applyFont="1" applyBorder="1" applyAlignment="1">
      <alignment/>
    </xf>
    <xf numFmtId="6" fontId="26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6" fontId="23" fillId="0" borderId="13" xfId="0" applyNumberFormat="1" applyFont="1" applyBorder="1" applyAlignment="1">
      <alignment/>
    </xf>
    <xf numFmtId="6" fontId="49" fillId="0" borderId="0" xfId="0" applyNumberFormat="1" applyFont="1" applyBorder="1" applyAlignment="1">
      <alignment/>
    </xf>
    <xf numFmtId="0" fontId="52" fillId="0" borderId="14" xfId="0" applyFont="1" applyBorder="1" applyAlignment="1">
      <alignment horizontal="center"/>
    </xf>
    <xf numFmtId="168" fontId="25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49" fillId="0" borderId="10" xfId="0" applyFont="1" applyBorder="1" applyAlignment="1">
      <alignment horizontal="centerContinuous"/>
    </xf>
    <xf numFmtId="6" fontId="53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2" fillId="33" borderId="13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0" fillId="0" borderId="15" xfId="0" applyFont="1" applyBorder="1" applyAlignment="1">
      <alignment/>
    </xf>
    <xf numFmtId="6" fontId="52" fillId="0" borderId="0" xfId="0" applyNumberFormat="1" applyFont="1" applyBorder="1" applyAlignment="1">
      <alignment/>
    </xf>
    <xf numFmtId="165" fontId="52" fillId="0" borderId="13" xfId="0" applyNumberFormat="1" applyFont="1" applyBorder="1" applyAlignment="1">
      <alignment/>
    </xf>
    <xf numFmtId="168" fontId="26" fillId="0" borderId="10" xfId="0" applyNumberFormat="1" applyFont="1" applyBorder="1" applyAlignment="1">
      <alignment horizontal="left" indent="1"/>
    </xf>
    <xf numFmtId="168" fontId="23" fillId="0" borderId="10" xfId="0" applyNumberFormat="1" applyFont="1" applyBorder="1" applyAlignment="1">
      <alignment horizontal="centerContinuous"/>
    </xf>
    <xf numFmtId="168" fontId="28" fillId="0" borderId="0" xfId="0" applyNumberFormat="1" applyFont="1" applyBorder="1" applyAlignment="1">
      <alignment horizontal="centerContinuous"/>
    </xf>
    <xf numFmtId="168" fontId="54" fillId="0" borderId="0" xfId="0" applyNumberFormat="1" applyFont="1" applyBorder="1" applyAlignment="1">
      <alignment horizontal="centerContinuous"/>
    </xf>
    <xf numFmtId="6" fontId="23" fillId="0" borderId="15" xfId="0" applyNumberFormat="1" applyFont="1" applyBorder="1" applyAlignment="1">
      <alignment/>
    </xf>
    <xf numFmtId="0" fontId="49" fillId="0" borderId="0" xfId="0" applyFont="1" applyBorder="1" applyAlignment="1">
      <alignment horizontal="centerContinuous"/>
    </xf>
    <xf numFmtId="0" fontId="49" fillId="0" borderId="0" xfId="0" applyFont="1" applyAlignment="1">
      <alignment horizontal="centerContinuous"/>
    </xf>
    <xf numFmtId="0" fontId="0" fillId="0" borderId="10" xfId="0" applyFont="1" applyBorder="1" applyAlignment="1">
      <alignment horizontal="left"/>
    </xf>
    <xf numFmtId="6" fontId="49" fillId="0" borderId="13" xfId="0" applyNumberFormat="1" applyFont="1" applyBorder="1" applyAlignment="1">
      <alignment/>
    </xf>
    <xf numFmtId="6" fontId="55" fillId="0" borderId="0" xfId="0" applyNumberFormat="1" applyFont="1" applyBorder="1" applyAlignment="1">
      <alignment/>
    </xf>
    <xf numFmtId="4" fontId="52" fillId="0" borderId="0" xfId="0" applyNumberFormat="1" applyFont="1" applyBorder="1" applyAlignment="1">
      <alignment horizontal="left"/>
    </xf>
    <xf numFmtId="168" fontId="54" fillId="0" borderId="0" xfId="0" applyNumberFormat="1" applyFont="1" applyBorder="1" applyAlignment="1">
      <alignment horizontal="left"/>
    </xf>
    <xf numFmtId="0" fontId="0" fillId="0" borderId="12" xfId="0" applyBorder="1" applyAlignment="1">
      <alignment/>
    </xf>
    <xf numFmtId="0" fontId="23" fillId="0" borderId="0" xfId="0" applyFont="1" applyBorder="1" applyAlignment="1">
      <alignment horizontal="center"/>
    </xf>
    <xf numFmtId="6" fontId="0" fillId="0" borderId="0" xfId="0" applyNumberFormat="1" applyBorder="1" applyAlignment="1">
      <alignment/>
    </xf>
    <xf numFmtId="6" fontId="26" fillId="0" borderId="14" xfId="0" applyNumberFormat="1" applyFont="1" applyBorder="1" applyAlignment="1">
      <alignment/>
    </xf>
    <xf numFmtId="6" fontId="23" fillId="0" borderId="14" xfId="0" applyNumberFormat="1" applyFont="1" applyBorder="1" applyAlignment="1">
      <alignment/>
    </xf>
    <xf numFmtId="168" fontId="51" fillId="0" borderId="14" xfId="0" applyNumberFormat="1" applyFont="1" applyBorder="1" applyAlignment="1">
      <alignment/>
    </xf>
    <xf numFmtId="168" fontId="54" fillId="0" borderId="14" xfId="0" applyNumberFormat="1" applyFont="1" applyBorder="1" applyAlignment="1">
      <alignment horizontal="left"/>
    </xf>
    <xf numFmtId="6" fontId="23" fillId="0" borderId="17" xfId="0" applyNumberFormat="1" applyFont="1" applyBorder="1" applyAlignment="1">
      <alignment/>
    </xf>
    <xf numFmtId="6" fontId="0" fillId="0" borderId="14" xfId="0" applyNumberFormat="1" applyFont="1" applyBorder="1" applyAlignment="1">
      <alignment/>
    </xf>
    <xf numFmtId="6" fontId="0" fillId="0" borderId="14" xfId="0" applyNumberFormat="1" applyBorder="1" applyAlignment="1">
      <alignment/>
    </xf>
    <xf numFmtId="6" fontId="49" fillId="0" borderId="17" xfId="0" applyNumberFormat="1" applyFont="1" applyBorder="1" applyAlignment="1">
      <alignment/>
    </xf>
    <xf numFmtId="0" fontId="49" fillId="34" borderId="18" xfId="0" applyFont="1" applyFill="1" applyBorder="1" applyAlignment="1">
      <alignment horizontal="centerContinuous"/>
    </xf>
    <xf numFmtId="0" fontId="0" fillId="34" borderId="19" xfId="0" applyFill="1" applyBorder="1" applyAlignment="1">
      <alignment horizontal="centerContinuous"/>
    </xf>
    <xf numFmtId="0" fontId="49" fillId="35" borderId="19" xfId="0" applyFont="1" applyFill="1" applyBorder="1" applyAlignment="1">
      <alignment horizontal="centerContinuous"/>
    </xf>
    <xf numFmtId="0" fontId="49" fillId="35" borderId="20" xfId="0" applyFont="1" applyFill="1" applyBorder="1" applyAlignment="1">
      <alignment horizontal="centerContinuous"/>
    </xf>
    <xf numFmtId="0" fontId="0" fillId="34" borderId="20" xfId="0" applyFill="1" applyBorder="1" applyAlignment="1">
      <alignment horizontal="centerContinuous"/>
    </xf>
    <xf numFmtId="0" fontId="0" fillId="0" borderId="10" xfId="0" applyFont="1" applyBorder="1" applyAlignment="1">
      <alignment horizontal="left" indent="1"/>
    </xf>
    <xf numFmtId="6" fontId="0" fillId="0" borderId="0" xfId="0" applyNumberFormat="1" applyAlignment="1">
      <alignment/>
    </xf>
    <xf numFmtId="0" fontId="49" fillId="0" borderId="12" xfId="0" applyFont="1" applyBorder="1" applyAlignment="1">
      <alignment horizontal="left" indent="1"/>
    </xf>
    <xf numFmtId="0" fontId="23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164" fontId="25" fillId="0" borderId="0" xfId="0" applyNumberFormat="1" applyFont="1" applyBorder="1" applyAlignment="1">
      <alignment/>
    </xf>
    <xf numFmtId="0" fontId="8" fillId="33" borderId="11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64" fontId="55" fillId="0" borderId="0" xfId="0" applyNumberFormat="1" applyFont="1" applyBorder="1" applyAlignment="1">
      <alignment/>
    </xf>
    <xf numFmtId="164" fontId="55" fillId="0" borderId="15" xfId="0" applyNumberFormat="1" applyFont="1" applyBorder="1" applyAlignment="1">
      <alignment/>
    </xf>
    <xf numFmtId="0" fontId="49" fillId="0" borderId="12" xfId="0" applyFont="1" applyBorder="1" applyAlignment="1">
      <alignment horizontal="left"/>
    </xf>
    <xf numFmtId="164" fontId="51" fillId="0" borderId="14" xfId="0" applyNumberFormat="1" applyFont="1" applyBorder="1" applyAlignment="1">
      <alignment/>
    </xf>
    <xf numFmtId="164" fontId="51" fillId="0" borderId="17" xfId="0" applyNumberFormat="1" applyFont="1" applyBorder="1" applyAlignment="1">
      <alignment/>
    </xf>
    <xf numFmtId="164" fontId="26" fillId="0" borderId="0" xfId="0" applyNumberFormat="1" applyFont="1" applyBorder="1" applyAlignment="1">
      <alignment/>
    </xf>
    <xf numFmtId="41" fontId="55" fillId="0" borderId="15" xfId="0" applyNumberFormat="1" applyFont="1" applyBorder="1" applyAlignment="1">
      <alignment/>
    </xf>
    <xf numFmtId="0" fontId="26" fillId="0" borderId="15" xfId="0" applyFont="1" applyBorder="1" applyAlignment="1">
      <alignment horizontal="centerContinuous"/>
    </xf>
    <xf numFmtId="0" fontId="23" fillId="0" borderId="15" xfId="0" applyFont="1" applyBorder="1" applyAlignment="1">
      <alignment horizontal="centerContinuous"/>
    </xf>
    <xf numFmtId="0" fontId="52" fillId="0" borderId="0" xfId="0" applyFont="1" applyBorder="1" applyAlignment="1">
      <alignment horizontal="center"/>
    </xf>
    <xf numFmtId="6" fontId="49" fillId="0" borderId="0" xfId="0" applyNumberFormat="1" applyFont="1" applyAlignment="1">
      <alignment/>
    </xf>
    <xf numFmtId="0" fontId="52" fillId="0" borderId="0" xfId="0" applyFont="1" applyBorder="1" applyAlignment="1">
      <alignment horizontal="centerContinuous"/>
    </xf>
    <xf numFmtId="0" fontId="49" fillId="0" borderId="10" xfId="0" applyFont="1" applyBorder="1" applyAlignment="1">
      <alignment horizontal="left" indent="2"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221" fontId="26" fillId="0" borderId="19" xfId="0" applyNumberFormat="1" applyFont="1" applyBorder="1" applyAlignment="1">
      <alignment horizontal="center"/>
    </xf>
    <xf numFmtId="0" fontId="23" fillId="0" borderId="14" xfId="0" applyFont="1" applyBorder="1" applyAlignment="1">
      <alignment horizontal="centerContinuous"/>
    </xf>
    <xf numFmtId="221" fontId="26" fillId="0" borderId="14" xfId="0" applyNumberFormat="1" applyFont="1" applyBorder="1" applyAlignment="1">
      <alignment horizontal="center"/>
    </xf>
    <xf numFmtId="0" fontId="23" fillId="0" borderId="14" xfId="0" applyFont="1" applyBorder="1" applyAlignment="1">
      <alignment/>
    </xf>
    <xf numFmtId="42" fontId="56" fillId="0" borderId="0" xfId="0" applyNumberFormat="1" applyFont="1" applyBorder="1" applyAlignment="1">
      <alignment/>
    </xf>
    <xf numFmtId="41" fontId="55" fillId="0" borderId="0" xfId="0" applyNumberFormat="1" applyFont="1" applyBorder="1" applyAlignment="1">
      <alignment/>
    </xf>
    <xf numFmtId="42" fontId="49" fillId="0" borderId="0" xfId="0" applyNumberFormat="1" applyFont="1" applyBorder="1" applyAlignment="1">
      <alignment/>
    </xf>
    <xf numFmtId="41" fontId="49" fillId="0" borderId="0" xfId="0" applyNumberFormat="1" applyFont="1" applyBorder="1" applyAlignment="1">
      <alignment/>
    </xf>
    <xf numFmtId="41" fontId="49" fillId="0" borderId="13" xfId="0" applyNumberFormat="1" applyFont="1" applyBorder="1" applyAlignment="1">
      <alignment/>
    </xf>
    <xf numFmtId="0" fontId="49" fillId="0" borderId="11" xfId="0" applyFont="1" applyBorder="1" applyAlignment="1">
      <alignment horizontal="left" indent="1"/>
    </xf>
    <xf numFmtId="164" fontId="26" fillId="0" borderId="15" xfId="0" applyNumberFormat="1" applyFont="1" applyBorder="1" applyAlignment="1">
      <alignment/>
    </xf>
    <xf numFmtId="42" fontId="36" fillId="0" borderId="0" xfId="0" applyNumberFormat="1" applyFont="1" applyBorder="1" applyAlignment="1">
      <alignment/>
    </xf>
    <xf numFmtId="42" fontId="55" fillId="0" borderId="0" xfId="0" applyNumberFormat="1" applyFont="1" applyBorder="1" applyAlignment="1">
      <alignment/>
    </xf>
    <xf numFmtId="42" fontId="49" fillId="0" borderId="13" xfId="0" applyNumberFormat="1" applyFont="1" applyBorder="1" applyAlignment="1">
      <alignment/>
    </xf>
    <xf numFmtId="168" fontId="23" fillId="0" borderId="10" xfId="0" applyNumberFormat="1" applyFont="1" applyBorder="1" applyAlignment="1">
      <alignment/>
    </xf>
    <xf numFmtId="41" fontId="49" fillId="0" borderId="0" xfId="0" applyNumberFormat="1" applyFont="1" applyAlignment="1">
      <alignment/>
    </xf>
    <xf numFmtId="42" fontId="49" fillId="0" borderId="0" xfId="0" applyNumberFormat="1" applyFont="1" applyAlignment="1">
      <alignment/>
    </xf>
    <xf numFmtId="42" fontId="49" fillId="0" borderId="15" xfId="0" applyNumberFormat="1" applyFont="1" applyBorder="1" applyAlignment="1">
      <alignment/>
    </xf>
    <xf numFmtId="41" fontId="49" fillId="0" borderId="15" xfId="0" applyNumberFormat="1" applyFont="1" applyBorder="1" applyAlignment="1">
      <alignment/>
    </xf>
    <xf numFmtId="42" fontId="23" fillId="0" borderId="0" xfId="0" applyNumberFormat="1" applyFont="1" applyBorder="1" applyAlignment="1">
      <alignment/>
    </xf>
    <xf numFmtId="41" fontId="26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26" fillId="0" borderId="15" xfId="0" applyNumberFormat="1" applyFont="1" applyBorder="1" applyAlignment="1">
      <alignment/>
    </xf>
    <xf numFmtId="41" fontId="23" fillId="0" borderId="13" xfId="0" applyNumberFormat="1" applyFont="1" applyBorder="1" applyAlignment="1">
      <alignment/>
    </xf>
    <xf numFmtId="41" fontId="55" fillId="0" borderId="0" xfId="0" applyNumberFormat="1" applyFont="1" applyFill="1" applyBorder="1" applyAlignment="1">
      <alignment/>
    </xf>
    <xf numFmtId="42" fontId="26" fillId="0" borderId="0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42" fontId="0" fillId="0" borderId="0" xfId="0" applyNumberFormat="1" applyAlignment="1">
      <alignment/>
    </xf>
    <xf numFmtId="42" fontId="23" fillId="0" borderId="15" xfId="0" applyNumberFormat="1" applyFont="1" applyBorder="1" applyAlignment="1">
      <alignment/>
    </xf>
    <xf numFmtId="42" fontId="0" fillId="0" borderId="0" xfId="0" applyNumberFormat="1" applyFont="1" applyAlignment="1">
      <alignment/>
    </xf>
    <xf numFmtId="0" fontId="55" fillId="0" borderId="15" xfId="0" applyFont="1" applyBorder="1" applyAlignment="1">
      <alignment horizontal="right"/>
    </xf>
    <xf numFmtId="14" fontId="55" fillId="0" borderId="15" xfId="0" applyNumberFormat="1" applyFont="1" applyBorder="1" applyAlignment="1">
      <alignment/>
    </xf>
    <xf numFmtId="41" fontId="26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 horizontal="centerContinuous"/>
    </xf>
    <xf numFmtId="0" fontId="26" fillId="0" borderId="0" xfId="0" applyFont="1" applyBorder="1" applyAlignment="1">
      <alignment horizontal="centerContinuous"/>
    </xf>
    <xf numFmtId="221" fontId="26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4" fontId="52" fillId="0" borderId="0" xfId="0" applyNumberFormat="1" applyFont="1" applyBorder="1" applyAlignment="1">
      <alignment horizontal="centerContinuous"/>
    </xf>
    <xf numFmtId="0" fontId="57" fillId="0" borderId="0" xfId="0" applyFont="1" applyAlignment="1">
      <alignment wrapText="1"/>
    </xf>
    <xf numFmtId="0" fontId="5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49" fillId="0" borderId="0" xfId="0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CG-LBO-Model-Part-1-Blan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ase-Study-Part-1-Blank"/>
    </sheetNames>
    <sheetDataSet>
      <sheetData sheetId="1">
        <row r="7">
          <cell r="E7" t="str">
            <v>J.Crew Group, Inc.</v>
          </cell>
          <cell r="J7">
            <v>40574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showGridLines="0" zoomScalePageLayoutView="0" workbookViewId="0" topLeftCell="A1">
      <selection activeCell="A22" sqref="A22"/>
    </sheetView>
  </sheetViews>
  <sheetFormatPr defaultColWidth="9.140625" defaultRowHeight="15"/>
  <cols>
    <col min="1" max="1" width="102.421875" style="125" customWidth="1"/>
    <col min="2" max="6" width="18.28125" style="0" customWidth="1"/>
    <col min="7" max="8" width="12.421875" style="0" customWidth="1"/>
  </cols>
  <sheetData>
    <row r="1" spans="1:2" ht="21">
      <c r="A1" s="123" t="s">
        <v>69</v>
      </c>
      <c r="B1" s="124"/>
    </row>
    <row r="2" ht="18.75">
      <c r="B2" s="124"/>
    </row>
    <row r="3" spans="1:2" ht="45.75">
      <c r="A3" s="126" t="s">
        <v>70</v>
      </c>
      <c r="B3" s="124"/>
    </row>
    <row r="4" ht="18.75">
      <c r="B4" s="124"/>
    </row>
    <row r="5" spans="1:2" ht="30.75">
      <c r="A5" s="125" t="s">
        <v>71</v>
      </c>
      <c r="B5" s="124"/>
    </row>
    <row r="6" ht="18.75">
      <c r="B6" s="124"/>
    </row>
    <row r="7" spans="1:2" ht="30.75">
      <c r="A7" s="125" t="s">
        <v>72</v>
      </c>
      <c r="B7" s="124"/>
    </row>
    <row r="8" ht="18.75">
      <c r="B8" s="124"/>
    </row>
    <row r="9" spans="1:2" ht="18.75">
      <c r="A9" s="127" t="s">
        <v>73</v>
      </c>
      <c r="B9" s="124"/>
    </row>
    <row r="10" ht="11.25" customHeight="1">
      <c r="B10" s="124"/>
    </row>
    <row r="11" spans="1:2" ht="18.75">
      <c r="A11" s="125" t="s">
        <v>74</v>
      </c>
      <c r="B11" s="124"/>
    </row>
    <row r="12" spans="1:2" ht="18.75">
      <c r="A12" s="125" t="s">
        <v>75</v>
      </c>
      <c r="B12" s="124"/>
    </row>
    <row r="13" spans="1:2" ht="18.75">
      <c r="A13" s="125" t="s">
        <v>76</v>
      </c>
      <c r="B13" s="124"/>
    </row>
    <row r="14" ht="15">
      <c r="A14" s="125" t="s">
        <v>77</v>
      </c>
    </row>
    <row r="15" ht="30">
      <c r="A15" s="125" t="s">
        <v>78</v>
      </c>
    </row>
    <row r="16" ht="30">
      <c r="A16" s="125" t="s">
        <v>79</v>
      </c>
    </row>
    <row r="17" ht="30">
      <c r="A17" s="125" t="s">
        <v>80</v>
      </c>
    </row>
    <row r="18" ht="18.75" customHeight="1"/>
    <row r="19" ht="15">
      <c r="A19" s="127" t="s">
        <v>81</v>
      </c>
    </row>
    <row r="20" ht="12.75" customHeight="1">
      <c r="A20" s="127"/>
    </row>
    <row r="21" ht="30">
      <c r="A21" s="125" t="s">
        <v>82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06"/>
  <sheetViews>
    <sheetView showGridLines="0" tabSelected="1" zoomScale="115" zoomScaleNormal="115" zoomScalePageLayoutView="0" workbookViewId="0" topLeftCell="A1">
      <selection activeCell="B1" sqref="B1"/>
    </sheetView>
  </sheetViews>
  <sheetFormatPr defaultColWidth="9.140625" defaultRowHeight="15"/>
  <cols>
    <col min="1" max="1" width="2.7109375" style="0" customWidth="1"/>
    <col min="2" max="13" width="10.7109375" style="0" customWidth="1"/>
    <col min="14" max="14" width="2.7109375" style="0" customWidth="1"/>
  </cols>
  <sheetData>
    <row r="2" ht="15">
      <c r="B2" s="27" t="str">
        <f>Company_Name&amp;" - LBO Model for Private Equity Interview Case Study"</f>
        <v>J.Crew Group, Inc. - LBO Model for Private Equity Interview Case Study</v>
      </c>
    </row>
    <row r="3" ht="15">
      <c r="B3" s="66" t="s">
        <v>54</v>
      </c>
    </row>
    <row r="5" spans="2:14" ht="15">
      <c r="B5" s="68" t="s">
        <v>47</v>
      </c>
      <c r="C5" s="28"/>
      <c r="D5" s="28"/>
      <c r="E5" s="28"/>
      <c r="F5" s="28"/>
      <c r="G5" s="28"/>
      <c r="H5" s="29"/>
      <c r="I5" s="29"/>
      <c r="J5" s="29"/>
      <c r="K5" s="29"/>
      <c r="L5" s="29"/>
      <c r="M5" s="29"/>
      <c r="N5" s="30"/>
    </row>
    <row r="6" spans="2:14" ht="15">
      <c r="B6" s="1"/>
      <c r="C6" s="18"/>
      <c r="D6" s="18"/>
      <c r="E6" s="18"/>
      <c r="F6" s="18"/>
      <c r="G6" s="18"/>
      <c r="H6" s="18"/>
      <c r="I6" s="18"/>
      <c r="J6" s="69"/>
      <c r="K6" s="69"/>
      <c r="L6" s="69"/>
      <c r="M6" s="69"/>
      <c r="N6" s="83"/>
    </row>
    <row r="7" spans="2:14" ht="15">
      <c r="B7" s="46" t="s">
        <v>33</v>
      </c>
      <c r="C7" s="19"/>
      <c r="D7" s="19"/>
      <c r="E7" s="115" t="s">
        <v>53</v>
      </c>
      <c r="F7" s="19"/>
      <c r="G7" s="19" t="s">
        <v>55</v>
      </c>
      <c r="H7" s="19"/>
      <c r="I7" s="19"/>
      <c r="J7" s="116">
        <v>40574</v>
      </c>
      <c r="K7" s="19"/>
      <c r="L7" s="19"/>
      <c r="M7" s="19"/>
      <c r="N7" s="84"/>
    </row>
    <row r="9" spans="2:14" ht="15">
      <c r="B9" s="68" t="s">
        <v>32</v>
      </c>
      <c r="C9" s="28"/>
      <c r="D9" s="28"/>
      <c r="E9" s="28"/>
      <c r="F9" s="28"/>
      <c r="G9" s="28"/>
      <c r="H9" s="29"/>
      <c r="I9" s="29"/>
      <c r="J9" s="29"/>
      <c r="K9" s="29"/>
      <c r="L9" s="29"/>
      <c r="M9" s="29"/>
      <c r="N9" s="30"/>
    </row>
    <row r="10" spans="2:14" ht="15">
      <c r="B10" s="1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7"/>
    </row>
    <row r="11" spans="2:14" ht="15">
      <c r="B11" s="1"/>
      <c r="C11" s="18"/>
      <c r="D11" s="18"/>
      <c r="E11" s="18"/>
      <c r="F11" s="57" t="s">
        <v>38</v>
      </c>
      <c r="G11" s="58"/>
      <c r="H11" s="61"/>
      <c r="I11" s="59" t="s">
        <v>46</v>
      </c>
      <c r="J11" s="59"/>
      <c r="K11" s="59"/>
      <c r="L11" s="59"/>
      <c r="M11" s="60"/>
      <c r="N11" s="17"/>
    </row>
    <row r="12" spans="2:14" ht="15">
      <c r="B12" s="1"/>
      <c r="C12" s="18"/>
      <c r="D12" s="18"/>
      <c r="E12" s="18"/>
      <c r="F12" s="85">
        <f>DATE(YEAR(G12)-1,MONTH(G12),DAY(G12))</f>
        <v>39844</v>
      </c>
      <c r="G12" s="85">
        <f>DATE(YEAR(H12)-1,MONTH(H12),DAY(H12))</f>
        <v>40209</v>
      </c>
      <c r="H12" s="85">
        <f>Hist_Year</f>
        <v>40574</v>
      </c>
      <c r="I12" s="85">
        <f>DATE(YEAR(Hist_Year)+1,MONTH(Hist_Year),DAY(Hist_Year))</f>
        <v>40939</v>
      </c>
      <c r="J12" s="85">
        <f>DATE(YEAR(I12)+1,MONTH(I12),DAY(I12))</f>
        <v>41305</v>
      </c>
      <c r="K12" s="85">
        <f>DATE(YEAR(J12)+1,MONTH(J12),DAY(J12))</f>
        <v>41670</v>
      </c>
      <c r="L12" s="85">
        <f>DATE(YEAR(K12)+1,MONTH(K12),DAY(K12))</f>
        <v>42035</v>
      </c>
      <c r="M12" s="85">
        <f>DATE(YEAR(L12)+1,MONTH(L12),DAY(L12))</f>
        <v>42400</v>
      </c>
      <c r="N12" s="65"/>
    </row>
    <row r="13" spans="2:14" ht="15">
      <c r="B13" s="1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7"/>
    </row>
    <row r="14" spans="2:14" ht="15">
      <c r="B14" s="1" t="s">
        <v>44</v>
      </c>
      <c r="C14" s="18"/>
      <c r="D14" s="18"/>
      <c r="E14" s="18"/>
      <c r="F14" s="75">
        <f>F31/E31-1</f>
        <v>0.0698624358762081</v>
      </c>
      <c r="G14" s="75">
        <f>G31/F31-1</f>
        <v>0.10509464484547992</v>
      </c>
      <c r="H14" s="75">
        <f>H31/G31-1</f>
        <v>0.12493837299640953</v>
      </c>
      <c r="I14" s="70">
        <v>0.12</v>
      </c>
      <c r="J14" s="70">
        <v>0.11</v>
      </c>
      <c r="K14" s="70">
        <v>0.1</v>
      </c>
      <c r="L14" s="70">
        <v>0.09</v>
      </c>
      <c r="M14" s="70">
        <v>0.08</v>
      </c>
      <c r="N14" s="73"/>
    </row>
    <row r="15" spans="2:14" ht="15">
      <c r="B15" s="1" t="s">
        <v>34</v>
      </c>
      <c r="C15" s="18"/>
      <c r="D15" s="18"/>
      <c r="E15" s="18"/>
      <c r="F15" s="75">
        <f>F32/F31</f>
        <v>0.6110401479022669</v>
      </c>
      <c r="G15" s="75">
        <f>G32/G31</f>
        <v>0.5591644582336845</v>
      </c>
      <c r="H15" s="75">
        <f>H32/H31</f>
        <v>0.5390941865705272</v>
      </c>
      <c r="I15" s="75">
        <f>AVERAGE(F15:H15)</f>
        <v>0.5697662642354929</v>
      </c>
      <c r="J15" s="75">
        <f aca="true" t="shared" si="0" ref="J15:M18">I15</f>
        <v>0.5697662642354929</v>
      </c>
      <c r="K15" s="75">
        <f t="shared" si="0"/>
        <v>0.5697662642354929</v>
      </c>
      <c r="L15" s="75">
        <f t="shared" si="0"/>
        <v>0.5697662642354929</v>
      </c>
      <c r="M15" s="75">
        <f t="shared" si="0"/>
        <v>0.5697662642354929</v>
      </c>
      <c r="N15" s="73"/>
    </row>
    <row r="16" spans="2:14" ht="15">
      <c r="B16" s="1" t="s">
        <v>37</v>
      </c>
      <c r="C16" s="18"/>
      <c r="D16" s="18"/>
      <c r="E16" s="18"/>
      <c r="F16" s="75">
        <f>F35/F31</f>
        <v>0.28883309873456725</v>
      </c>
      <c r="G16" s="75">
        <f>G35/G31</f>
        <v>0.27229249918569975</v>
      </c>
      <c r="H16" s="75">
        <f>H35/H31</f>
        <v>0.2648715637674628</v>
      </c>
      <c r="I16" s="75">
        <f>AVERAGE(F16:H16)</f>
        <v>0.27533238722924325</v>
      </c>
      <c r="J16" s="75">
        <f t="shared" si="0"/>
        <v>0.27533238722924325</v>
      </c>
      <c r="K16" s="75">
        <f t="shared" si="0"/>
        <v>0.27533238722924325</v>
      </c>
      <c r="L16" s="75">
        <f t="shared" si="0"/>
        <v>0.27533238722924325</v>
      </c>
      <c r="M16" s="75">
        <f t="shared" si="0"/>
        <v>0.27533238722924325</v>
      </c>
      <c r="N16" s="73"/>
    </row>
    <row r="17" spans="2:14" ht="15">
      <c r="B17" s="1" t="s">
        <v>57</v>
      </c>
      <c r="C17" s="18"/>
      <c r="D17" s="18"/>
      <c r="E17" s="18"/>
      <c r="F17" s="75">
        <f>F36/F31</f>
        <v>0.03241874829303137</v>
      </c>
      <c r="G17" s="75">
        <f>G36/G31</f>
        <v>0.03466764509436378</v>
      </c>
      <c r="H17" s="75">
        <f>H36/H31</f>
        <v>0.035376295628661535</v>
      </c>
      <c r="I17" s="75">
        <f>AVERAGE(F17:H17)</f>
        <v>0.03415422967201889</v>
      </c>
      <c r="J17" s="75">
        <f t="shared" si="0"/>
        <v>0.03415422967201889</v>
      </c>
      <c r="K17" s="75">
        <f t="shared" si="0"/>
        <v>0.03415422967201889</v>
      </c>
      <c r="L17" s="75">
        <f t="shared" si="0"/>
        <v>0.03415422967201889</v>
      </c>
      <c r="M17" s="75">
        <f t="shared" si="0"/>
        <v>0.03415422967201889</v>
      </c>
      <c r="N17" s="73"/>
    </row>
    <row r="18" spans="2:14" ht="15">
      <c r="B18" s="1" t="s">
        <v>42</v>
      </c>
      <c r="C18" s="18"/>
      <c r="D18" s="18"/>
      <c r="E18" s="18"/>
      <c r="F18" s="75">
        <f>F41/F40</f>
        <v>0.4036365639980164</v>
      </c>
      <c r="G18" s="75">
        <f>G41/G40</f>
        <v>0.40080727813208866</v>
      </c>
      <c r="H18" s="75">
        <f>H41/H40</f>
        <v>0.40254237288135586</v>
      </c>
      <c r="I18" s="75">
        <f>AVERAGE(F18:H18)</f>
        <v>0.4023287383371536</v>
      </c>
      <c r="J18" s="75">
        <f t="shared" si="0"/>
        <v>0.4023287383371536</v>
      </c>
      <c r="K18" s="75">
        <f t="shared" si="0"/>
        <v>0.4023287383371536</v>
      </c>
      <c r="L18" s="75">
        <f t="shared" si="0"/>
        <v>0.4023287383371536</v>
      </c>
      <c r="M18" s="75">
        <f t="shared" si="0"/>
        <v>0.4023287383371536</v>
      </c>
      <c r="N18" s="73"/>
    </row>
    <row r="19" spans="2:14" ht="15">
      <c r="B19" s="1"/>
      <c r="C19" s="18"/>
      <c r="D19" s="18"/>
      <c r="E19" s="18"/>
      <c r="F19" s="75"/>
      <c r="G19" s="75"/>
      <c r="H19" s="75"/>
      <c r="I19" s="75"/>
      <c r="J19" s="75"/>
      <c r="K19" s="75"/>
      <c r="L19" s="75"/>
      <c r="M19" s="75"/>
      <c r="N19" s="73"/>
    </row>
    <row r="20" spans="2:14" ht="15">
      <c r="B20" s="1" t="s">
        <v>39</v>
      </c>
      <c r="C20" s="18"/>
      <c r="D20" s="18"/>
      <c r="E20" s="18"/>
      <c r="F20" s="75">
        <f>F52/F32</f>
        <v>0.2143655298797658</v>
      </c>
      <c r="G20" s="75">
        <f>G52/G32</f>
        <v>0.21558730032808807</v>
      </c>
      <c r="H20" s="75">
        <f>H52/H32</f>
        <v>0.21497641510392695</v>
      </c>
      <c r="I20" s="75">
        <f>AVERAGE(F20:H20)</f>
        <v>0.21497641510392693</v>
      </c>
      <c r="J20" s="75">
        <f aca="true" t="shared" si="1" ref="J20:M23">I20</f>
        <v>0.21497641510392693</v>
      </c>
      <c r="K20" s="75">
        <f t="shared" si="1"/>
        <v>0.21497641510392693</v>
      </c>
      <c r="L20" s="75">
        <f t="shared" si="1"/>
        <v>0.21497641510392693</v>
      </c>
      <c r="M20" s="75">
        <f t="shared" si="1"/>
        <v>0.21497641510392693</v>
      </c>
      <c r="N20" s="73"/>
    </row>
    <row r="21" spans="2:14" ht="15">
      <c r="B21" s="1" t="s">
        <v>66</v>
      </c>
      <c r="C21" s="18"/>
      <c r="D21" s="18"/>
      <c r="E21" s="18"/>
      <c r="F21" s="75">
        <f>F53/F35</f>
        <v>0.14072664234019083</v>
      </c>
      <c r="G21" s="75">
        <f>G53/G35</f>
        <v>0.07209167560724151</v>
      </c>
      <c r="H21" s="75">
        <f>H53/H35</f>
        <v>0.10503690603398808</v>
      </c>
      <c r="I21" s="75">
        <f>AVERAGE(F21:H21)</f>
        <v>0.10595174132714014</v>
      </c>
      <c r="J21" s="75">
        <f t="shared" si="1"/>
        <v>0.10595174132714014</v>
      </c>
      <c r="K21" s="75">
        <f t="shared" si="1"/>
        <v>0.10595174132714014</v>
      </c>
      <c r="L21" s="75">
        <f t="shared" si="1"/>
        <v>0.10595174132714014</v>
      </c>
      <c r="M21" s="75">
        <f t="shared" si="1"/>
        <v>0.10595174132714014</v>
      </c>
      <c r="N21" s="73"/>
    </row>
    <row r="22" spans="2:14" ht="15">
      <c r="B22" s="1" t="s">
        <v>40</v>
      </c>
      <c r="C22" s="18"/>
      <c r="D22" s="18"/>
      <c r="E22" s="18"/>
      <c r="F22" s="75">
        <f>F65/F32</f>
        <v>0.13720636252259188</v>
      </c>
      <c r="G22" s="75">
        <f>G65/G32</f>
        <v>0.1447588070966755</v>
      </c>
      <c r="H22" s="75">
        <f>H65/H32</f>
        <v>0.1409825848096337</v>
      </c>
      <c r="I22" s="75">
        <f>AVERAGE(F22:H22)</f>
        <v>0.1409825848096337</v>
      </c>
      <c r="J22" s="75">
        <f t="shared" si="1"/>
        <v>0.1409825848096337</v>
      </c>
      <c r="K22" s="75">
        <f t="shared" si="1"/>
        <v>0.1409825848096337</v>
      </c>
      <c r="L22" s="75">
        <f t="shared" si="1"/>
        <v>0.1409825848096337</v>
      </c>
      <c r="M22" s="75">
        <f t="shared" si="1"/>
        <v>0.1409825848096337</v>
      </c>
      <c r="N22" s="73"/>
    </row>
    <row r="23" spans="2:14" ht="15">
      <c r="B23" s="1" t="s">
        <v>67</v>
      </c>
      <c r="C23" s="18"/>
      <c r="D23" s="18"/>
      <c r="E23" s="18"/>
      <c r="F23" s="75">
        <f>F66/F35</f>
        <v>0.21321145849749665</v>
      </c>
      <c r="G23" s="75">
        <f>G66/G35</f>
        <v>0.25043694392921395</v>
      </c>
      <c r="H23" s="75">
        <f>H66/H35</f>
        <v>0.22927681858548105</v>
      </c>
      <c r="I23" s="75">
        <f>AVERAGE(F23:H23)</f>
        <v>0.23097507367073056</v>
      </c>
      <c r="J23" s="75">
        <f t="shared" si="1"/>
        <v>0.23097507367073056</v>
      </c>
      <c r="K23" s="75">
        <f t="shared" si="1"/>
        <v>0.23097507367073056</v>
      </c>
      <c r="L23" s="75">
        <f t="shared" si="1"/>
        <v>0.23097507367073056</v>
      </c>
      <c r="M23" s="75">
        <f t="shared" si="1"/>
        <v>0.23097507367073056</v>
      </c>
      <c r="N23" s="73"/>
    </row>
    <row r="24" spans="2:14" ht="15">
      <c r="B24" s="1"/>
      <c r="C24" s="18"/>
      <c r="D24" s="18"/>
      <c r="E24" s="18"/>
      <c r="F24" s="67"/>
      <c r="G24" s="67"/>
      <c r="H24" s="67"/>
      <c r="I24" s="75"/>
      <c r="J24" s="75"/>
      <c r="K24" s="75"/>
      <c r="L24" s="75"/>
      <c r="M24" s="75"/>
      <c r="N24" s="73"/>
    </row>
    <row r="25" spans="2:14" ht="15">
      <c r="B25" s="46" t="s">
        <v>41</v>
      </c>
      <c r="C25" s="19"/>
      <c r="D25" s="19"/>
      <c r="E25" s="19"/>
      <c r="F25" s="71">
        <v>0.054291056534801145</v>
      </c>
      <c r="G25" s="71">
        <v>0.02832941075079117</v>
      </c>
      <c r="H25" s="71">
        <v>0.04131023364279616</v>
      </c>
      <c r="I25" s="95">
        <f>AVERAGE(F25:H25)</f>
        <v>0.04131023364279616</v>
      </c>
      <c r="J25" s="95">
        <f>I25</f>
        <v>0.04131023364279616</v>
      </c>
      <c r="K25" s="95">
        <f>J25</f>
        <v>0.04131023364279616</v>
      </c>
      <c r="L25" s="95">
        <f>K25</f>
        <v>0.04131023364279616</v>
      </c>
      <c r="M25" s="95">
        <f>L25</f>
        <v>0.04131023364279616</v>
      </c>
      <c r="N25" s="74"/>
    </row>
    <row r="27" spans="2:14" ht="15">
      <c r="B27" s="68" t="s">
        <v>10</v>
      </c>
      <c r="C27" s="28"/>
      <c r="D27" s="28"/>
      <c r="E27" s="28"/>
      <c r="F27" s="28"/>
      <c r="G27" s="28"/>
      <c r="H27" s="29"/>
      <c r="I27" s="29"/>
      <c r="J27" s="29"/>
      <c r="K27" s="29"/>
      <c r="L27" s="29"/>
      <c r="M27" s="29"/>
      <c r="N27" s="30"/>
    </row>
    <row r="28" spans="2:14" ht="15">
      <c r="B28" s="1"/>
      <c r="C28" s="18"/>
      <c r="F28" s="78" t="str">
        <f>$F$11</f>
        <v>Historical</v>
      </c>
      <c r="G28" s="77"/>
      <c r="H28" s="77"/>
      <c r="I28" s="78" t="str">
        <f>$I$11</f>
        <v>Projected</v>
      </c>
      <c r="J28" s="78"/>
      <c r="K28" s="78"/>
      <c r="L28" s="78"/>
      <c r="M28" s="78"/>
      <c r="N28" s="88"/>
    </row>
    <row r="29" spans="2:14" ht="15">
      <c r="B29" s="1"/>
      <c r="C29" s="18"/>
      <c r="F29" s="85">
        <f>$F$12</f>
        <v>39844</v>
      </c>
      <c r="G29" s="85">
        <f>$G$12</f>
        <v>40209</v>
      </c>
      <c r="H29" s="85">
        <f>$H$12</f>
        <v>40574</v>
      </c>
      <c r="I29" s="85">
        <f>$I$12</f>
        <v>40939</v>
      </c>
      <c r="J29" s="85">
        <f>$J$12</f>
        <v>41305</v>
      </c>
      <c r="K29" s="85">
        <f>$K$12</f>
        <v>41670</v>
      </c>
      <c r="L29" s="85">
        <f>$L$12</f>
        <v>42035</v>
      </c>
      <c r="M29" s="85">
        <f>$M$12</f>
        <v>42400</v>
      </c>
      <c r="N29" s="65"/>
    </row>
    <row r="30" spans="2:14" ht="15">
      <c r="B30" s="1"/>
      <c r="C30" s="18"/>
      <c r="H30" s="79"/>
      <c r="I30" s="18"/>
      <c r="M30" s="79"/>
      <c r="N30" s="22"/>
    </row>
    <row r="31" spans="2:14" ht="15">
      <c r="B31" s="2" t="s">
        <v>35</v>
      </c>
      <c r="E31" s="96">
        <v>1334.723</v>
      </c>
      <c r="F31" s="89">
        <v>1427.97</v>
      </c>
      <c r="G31" s="89">
        <v>1578.042</v>
      </c>
      <c r="H31" s="89">
        <v>1775.2</v>
      </c>
      <c r="I31" s="104">
        <f>H31*(1+I14)</f>
        <v>1988.2240000000002</v>
      </c>
      <c r="J31" s="104">
        <f>I31*(1+J14)</f>
        <v>2206.9286400000005</v>
      </c>
      <c r="K31" s="104">
        <f>J31*(1+K14)</f>
        <v>2427.6215040000006</v>
      </c>
      <c r="L31" s="104">
        <f>K31*(1+L14)</f>
        <v>2646.107439360001</v>
      </c>
      <c r="M31" s="104">
        <f>L31*(1+M14)</f>
        <v>2857.7960345088013</v>
      </c>
      <c r="N31" s="50"/>
    </row>
    <row r="32" spans="2:14" ht="15">
      <c r="B32" s="1" t="s">
        <v>36</v>
      </c>
      <c r="F32" s="90">
        <v>872.547</v>
      </c>
      <c r="G32" s="90">
        <v>882.385</v>
      </c>
      <c r="H32" s="90">
        <v>957</v>
      </c>
      <c r="I32" s="105">
        <f>I31*I15</f>
        <v>1132.8229609433488</v>
      </c>
      <c r="J32" s="105">
        <f>J31*J15</f>
        <v>1257.4334866471174</v>
      </c>
      <c r="K32" s="105">
        <f>K31*K15</f>
        <v>1383.176835311829</v>
      </c>
      <c r="L32" s="105">
        <f>L31*L15</f>
        <v>1507.662750489894</v>
      </c>
      <c r="M32" s="105">
        <f>M31*M15</f>
        <v>1628.2757705290855</v>
      </c>
      <c r="N32" s="49"/>
    </row>
    <row r="33" spans="2:14" ht="15">
      <c r="B33" s="9" t="s">
        <v>0</v>
      </c>
      <c r="F33" s="92">
        <f aca="true" t="shared" si="2" ref="F33:M33">F31-F32</f>
        <v>555.423</v>
      </c>
      <c r="G33" s="92">
        <f t="shared" si="2"/>
        <v>695.6569999999999</v>
      </c>
      <c r="H33" s="92">
        <f t="shared" si="2"/>
        <v>818.2</v>
      </c>
      <c r="I33" s="92">
        <f t="shared" si="2"/>
        <v>855.4010390566514</v>
      </c>
      <c r="J33" s="92">
        <f t="shared" si="2"/>
        <v>949.4951533528831</v>
      </c>
      <c r="K33" s="92">
        <f t="shared" si="2"/>
        <v>1044.4446686881715</v>
      </c>
      <c r="L33" s="92">
        <f t="shared" si="2"/>
        <v>1138.444688870107</v>
      </c>
      <c r="M33" s="92">
        <f t="shared" si="2"/>
        <v>1229.5202639797158</v>
      </c>
      <c r="N33" s="13"/>
    </row>
    <row r="34" spans="2:14" ht="15">
      <c r="B34" s="9"/>
      <c r="F34" s="21"/>
      <c r="G34" s="21"/>
      <c r="H34" s="21"/>
      <c r="I34" s="21"/>
      <c r="J34" s="21"/>
      <c r="K34" s="21"/>
      <c r="L34" s="21"/>
      <c r="M34" s="21"/>
      <c r="N34" s="13"/>
    </row>
    <row r="35" spans="2:14" ht="15">
      <c r="B35" s="41" t="s">
        <v>68</v>
      </c>
      <c r="F35" s="90">
        <f>404.04+8.405</f>
        <v>412.445</v>
      </c>
      <c r="G35" s="90">
        <f>416.919+12.77</f>
        <v>429.68899999999996</v>
      </c>
      <c r="H35" s="90">
        <f>453.2+17</f>
        <v>470.2</v>
      </c>
      <c r="I35" s="106">
        <f>I31*I16</f>
        <v>547.422460266475</v>
      </c>
      <c r="J35" s="106">
        <f>J31*J16</f>
        <v>607.6389308957873</v>
      </c>
      <c r="K35" s="106">
        <f>K31*K16</f>
        <v>668.402823985366</v>
      </c>
      <c r="L35" s="106">
        <f>L31*L16</f>
        <v>728.5590781440491</v>
      </c>
      <c r="M35" s="106">
        <f>M31*M16</f>
        <v>786.8438043955731</v>
      </c>
      <c r="N35" s="13"/>
    </row>
    <row r="36" spans="2:14" ht="15">
      <c r="B36" s="8" t="s">
        <v>56</v>
      </c>
      <c r="F36" s="90">
        <v>46.293</v>
      </c>
      <c r="G36" s="90">
        <v>54.707</v>
      </c>
      <c r="H36" s="90">
        <v>62.799999999999955</v>
      </c>
      <c r="I36" s="106">
        <f>I31*I17</f>
        <v>67.9062591354201</v>
      </c>
      <c r="J36" s="106">
        <f>J31*J17</f>
        <v>75.37594764031633</v>
      </c>
      <c r="K36" s="106">
        <f>K31*K17</f>
        <v>82.91354240434795</v>
      </c>
      <c r="L36" s="106">
        <f>L31*L17</f>
        <v>90.37576122073928</v>
      </c>
      <c r="M36" s="106">
        <f>M31*M17</f>
        <v>97.60582211839844</v>
      </c>
      <c r="N36" s="13"/>
    </row>
    <row r="37" spans="2:14" ht="15">
      <c r="B37" s="94" t="s">
        <v>1</v>
      </c>
      <c r="C37" s="24"/>
      <c r="D37" s="24"/>
      <c r="E37" s="24"/>
      <c r="F37" s="93">
        <f aca="true" t="shared" si="3" ref="F37:M37">F33-SUM(F35:F36)</f>
        <v>96.685</v>
      </c>
      <c r="G37" s="93">
        <f t="shared" si="3"/>
        <v>211.26099999999997</v>
      </c>
      <c r="H37" s="93">
        <f t="shared" si="3"/>
        <v>285.20000000000005</v>
      </c>
      <c r="I37" s="93">
        <f t="shared" si="3"/>
        <v>240.07231965475626</v>
      </c>
      <c r="J37" s="93">
        <f t="shared" si="3"/>
        <v>266.48027481677946</v>
      </c>
      <c r="K37" s="93">
        <f t="shared" si="3"/>
        <v>293.1283022984576</v>
      </c>
      <c r="L37" s="93">
        <f t="shared" si="3"/>
        <v>319.5098495053187</v>
      </c>
      <c r="M37" s="93">
        <f t="shared" si="3"/>
        <v>345.0706374657442</v>
      </c>
      <c r="N37" s="13"/>
    </row>
    <row r="38" spans="2:14" ht="15">
      <c r="B38" s="9"/>
      <c r="F38" s="21"/>
      <c r="G38" s="21"/>
      <c r="H38" s="21"/>
      <c r="I38" s="21"/>
      <c r="J38" s="21"/>
      <c r="K38" s="21"/>
      <c r="L38" s="21"/>
      <c r="M38" s="21"/>
      <c r="N38" s="13"/>
    </row>
    <row r="39" spans="2:14" ht="15">
      <c r="B39" s="8" t="s">
        <v>48</v>
      </c>
      <c r="F39" s="90">
        <v>-5.94</v>
      </c>
      <c r="G39" s="90">
        <v>-5.384</v>
      </c>
      <c r="H39" s="90">
        <v>-2</v>
      </c>
      <c r="I39" s="106"/>
      <c r="J39" s="106"/>
      <c r="K39" s="106"/>
      <c r="L39" s="106"/>
      <c r="M39" s="106"/>
      <c r="N39" s="54"/>
    </row>
    <row r="40" spans="2:14" ht="15">
      <c r="B40" s="94" t="s">
        <v>2</v>
      </c>
      <c r="C40" s="24"/>
      <c r="D40" s="24"/>
      <c r="E40" s="24"/>
      <c r="F40" s="93">
        <f aca="true" t="shared" si="4" ref="F40:M40">F37+F39</f>
        <v>90.745</v>
      </c>
      <c r="G40" s="93">
        <f t="shared" si="4"/>
        <v>205.87699999999995</v>
      </c>
      <c r="H40" s="93">
        <f t="shared" si="4"/>
        <v>283.20000000000005</v>
      </c>
      <c r="I40" s="93">
        <f t="shared" si="4"/>
        <v>240.07231965475626</v>
      </c>
      <c r="J40" s="93">
        <f t="shared" si="4"/>
        <v>266.48027481677946</v>
      </c>
      <c r="K40" s="93">
        <f t="shared" si="4"/>
        <v>293.1283022984576</v>
      </c>
      <c r="L40" s="93">
        <f t="shared" si="4"/>
        <v>319.5098495053187</v>
      </c>
      <c r="M40" s="93">
        <f t="shared" si="4"/>
        <v>345.0706374657442</v>
      </c>
      <c r="N40" s="13"/>
    </row>
    <row r="41" spans="2:14" ht="15">
      <c r="B41" s="8" t="s">
        <v>3</v>
      </c>
      <c r="F41" s="90">
        <v>36.628</v>
      </c>
      <c r="G41" s="90">
        <v>82.517</v>
      </c>
      <c r="H41" s="90">
        <v>114</v>
      </c>
      <c r="I41" s="106">
        <f>I40*I18</f>
        <v>96.58799347637193</v>
      </c>
      <c r="J41" s="106">
        <f>J40*J18</f>
        <v>107.21267275877284</v>
      </c>
      <c r="K41" s="106">
        <f>K40*K18</f>
        <v>117.9339400346502</v>
      </c>
      <c r="L41" s="106">
        <f>L40*L18</f>
        <v>128.54799463776868</v>
      </c>
      <c r="M41" s="106">
        <f>M40*M18</f>
        <v>138.83183420879018</v>
      </c>
      <c r="N41" s="54"/>
    </row>
    <row r="42" spans="2:14" ht="15">
      <c r="B42" s="7"/>
      <c r="F42" s="18"/>
      <c r="G42" s="18"/>
      <c r="H42" s="18"/>
      <c r="I42" s="18"/>
      <c r="J42" s="18"/>
      <c r="K42" s="18"/>
      <c r="L42" s="18"/>
      <c r="M42" s="18"/>
      <c r="N42" s="17"/>
    </row>
    <row r="43" spans="2:14" ht="15">
      <c r="B43" s="10" t="s">
        <v>7</v>
      </c>
      <c r="F43" s="92">
        <f aca="true" t="shared" si="5" ref="F43:M43">F40-F41</f>
        <v>54.117000000000004</v>
      </c>
      <c r="G43" s="92">
        <f t="shared" si="5"/>
        <v>123.35999999999996</v>
      </c>
      <c r="H43" s="92">
        <f t="shared" si="5"/>
        <v>169.20000000000005</v>
      </c>
      <c r="I43" s="92">
        <f t="shared" si="5"/>
        <v>143.48432617838432</v>
      </c>
      <c r="J43" s="92">
        <f t="shared" si="5"/>
        <v>159.26760205800662</v>
      </c>
      <c r="K43" s="92">
        <f t="shared" si="5"/>
        <v>175.19436226380736</v>
      </c>
      <c r="L43" s="92">
        <f t="shared" si="5"/>
        <v>190.96185486755002</v>
      </c>
      <c r="M43" s="92">
        <f t="shared" si="5"/>
        <v>206.23880325695401</v>
      </c>
      <c r="N43" s="13"/>
    </row>
    <row r="44" spans="2:14" ht="15">
      <c r="B44" s="72" t="s">
        <v>45</v>
      </c>
      <c r="C44" s="31"/>
      <c r="D44" s="31"/>
      <c r="E44" s="19"/>
      <c r="F44" s="102">
        <f>F37+F36</f>
        <v>142.978</v>
      </c>
      <c r="G44" s="102">
        <f aca="true" t="shared" si="6" ref="G44:M44">G37+G36</f>
        <v>265.96799999999996</v>
      </c>
      <c r="H44" s="102">
        <f t="shared" si="6"/>
        <v>348</v>
      </c>
      <c r="I44" s="102">
        <f t="shared" si="6"/>
        <v>307.97857879017636</v>
      </c>
      <c r="J44" s="102">
        <f t="shared" si="6"/>
        <v>341.8562224570958</v>
      </c>
      <c r="K44" s="102">
        <f t="shared" si="6"/>
        <v>376.0418447028055</v>
      </c>
      <c r="L44" s="102">
        <f t="shared" si="6"/>
        <v>409.88561072605796</v>
      </c>
      <c r="M44" s="102">
        <f t="shared" si="6"/>
        <v>442.67645958414266</v>
      </c>
      <c r="N44" s="56"/>
    </row>
    <row r="46" spans="2:14" ht="15">
      <c r="B46" s="68" t="s">
        <v>11</v>
      </c>
      <c r="C46" s="28"/>
      <c r="D46" s="28"/>
      <c r="E46" s="28"/>
      <c r="F46" s="28"/>
      <c r="G46" s="29"/>
      <c r="H46" s="29"/>
      <c r="I46" s="29"/>
      <c r="J46" s="29"/>
      <c r="K46" s="29"/>
      <c r="L46" s="29"/>
      <c r="M46" s="29"/>
      <c r="N46" s="30"/>
    </row>
    <row r="47" spans="2:14" ht="15">
      <c r="B47" s="1"/>
      <c r="C47" s="18"/>
      <c r="D47" s="18"/>
      <c r="E47" s="47"/>
      <c r="F47" s="78" t="str">
        <f>$F$11</f>
        <v>Historical</v>
      </c>
      <c r="G47" s="77"/>
      <c r="H47" s="77"/>
      <c r="I47" s="78" t="str">
        <f>$I$11</f>
        <v>Projected</v>
      </c>
      <c r="J47" s="78"/>
      <c r="K47" s="78"/>
      <c r="L47" s="78"/>
      <c r="M47" s="78"/>
      <c r="N47" s="86"/>
    </row>
    <row r="48" spans="2:14" ht="15">
      <c r="B48" s="1"/>
      <c r="C48" s="18"/>
      <c r="D48" s="18"/>
      <c r="E48" s="47"/>
      <c r="F48" s="85">
        <f>$F$12</f>
        <v>39844</v>
      </c>
      <c r="G48" s="85">
        <f>$G$12</f>
        <v>40209</v>
      </c>
      <c r="H48" s="85">
        <f>$H$12</f>
        <v>40574</v>
      </c>
      <c r="I48" s="85">
        <f>$I$12</f>
        <v>40939</v>
      </c>
      <c r="J48" s="85">
        <f>$J$12</f>
        <v>41305</v>
      </c>
      <c r="K48" s="85">
        <f>$K$12</f>
        <v>41670</v>
      </c>
      <c r="L48" s="85">
        <f>$L$12</f>
        <v>42035</v>
      </c>
      <c r="M48" s="85">
        <f>$M$12</f>
        <v>42400</v>
      </c>
      <c r="N48" s="87"/>
    </row>
    <row r="49" spans="2:14" ht="15">
      <c r="B49" s="25" t="s">
        <v>14</v>
      </c>
      <c r="C49" s="4"/>
      <c r="D49" s="4"/>
      <c r="E49" s="122"/>
      <c r="F49" s="44"/>
      <c r="G49" s="44"/>
      <c r="H49" s="44"/>
      <c r="I49" s="18"/>
      <c r="M49" s="18"/>
      <c r="N49" s="17"/>
    </row>
    <row r="50" spans="2:14" ht="15">
      <c r="B50" s="2" t="s">
        <v>4</v>
      </c>
      <c r="C50" s="32"/>
      <c r="D50" s="32"/>
      <c r="E50" s="32"/>
      <c r="G50" s="32"/>
      <c r="H50" s="32"/>
      <c r="I50" s="18"/>
      <c r="M50" s="18"/>
      <c r="N50" s="17"/>
    </row>
    <row r="51" spans="2:14" ht="15">
      <c r="B51" s="7" t="s">
        <v>8</v>
      </c>
      <c r="C51" s="26"/>
      <c r="D51" s="26"/>
      <c r="E51" s="43"/>
      <c r="F51" s="97">
        <v>146.42999999999998</v>
      </c>
      <c r="G51" s="97">
        <v>298.10699999999986</v>
      </c>
      <c r="H51" s="97">
        <v>432.0476244284883</v>
      </c>
      <c r="I51" s="110">
        <f>I106</f>
        <v>558.317370734725</v>
      </c>
      <c r="J51" s="110">
        <f>J106</f>
        <v>700.1002364099088</v>
      </c>
      <c r="K51" s="110">
        <f>K106</f>
        <v>856.2152019500438</v>
      </c>
      <c r="L51" s="110">
        <f>L106</f>
        <v>1026.5512471489415</v>
      </c>
      <c r="M51" s="110">
        <f>M106</f>
        <v>1210.7019819999164</v>
      </c>
      <c r="N51" s="49"/>
    </row>
    <row r="52" spans="2:14" ht="15">
      <c r="B52" s="7" t="s">
        <v>58</v>
      </c>
      <c r="C52" s="21"/>
      <c r="D52" s="15"/>
      <c r="E52" s="43"/>
      <c r="F52" s="90">
        <v>187.044</v>
      </c>
      <c r="G52" s="90">
        <v>190.231</v>
      </c>
      <c r="H52" s="90">
        <v>205.73242925445808</v>
      </c>
      <c r="I52" s="105">
        <f>I32*I20</f>
        <v>243.53021909101696</v>
      </c>
      <c r="J52" s="105">
        <f>J32*J20</f>
        <v>270.3185431910289</v>
      </c>
      <c r="K52" s="105">
        <f>K32*K20</f>
        <v>297.35039751013176</v>
      </c>
      <c r="L52" s="105">
        <f>L32*L20</f>
        <v>324.11193328604367</v>
      </c>
      <c r="M52" s="105">
        <f>M32*M20</f>
        <v>350.04088794892715</v>
      </c>
      <c r="N52" s="49"/>
    </row>
    <row r="53" spans="2:14" ht="15">
      <c r="B53" s="7" t="s">
        <v>59</v>
      </c>
      <c r="C53" s="18"/>
      <c r="D53" s="18"/>
      <c r="E53" s="43"/>
      <c r="F53" s="90">
        <v>58.042</v>
      </c>
      <c r="G53" s="90">
        <v>30.976999999999997</v>
      </c>
      <c r="H53" s="90">
        <v>49.38835321718119</v>
      </c>
      <c r="I53" s="105">
        <f>I35*I21</f>
        <v>58.00036290682021</v>
      </c>
      <c r="J53" s="105">
        <f>J35*J21</f>
        <v>64.38040282657045</v>
      </c>
      <c r="K53" s="105">
        <f>K35*K21</f>
        <v>70.81844310922747</v>
      </c>
      <c r="L53" s="105">
        <f>L35*L21</f>
        <v>77.19210298905796</v>
      </c>
      <c r="M53" s="105">
        <f>M35*M21</f>
        <v>83.36747122818261</v>
      </c>
      <c r="N53" s="49"/>
    </row>
    <row r="54" spans="2:14" ht="15">
      <c r="B54" s="3" t="s">
        <v>5</v>
      </c>
      <c r="C54" s="6"/>
      <c r="D54" s="33"/>
      <c r="E54" s="20"/>
      <c r="F54" s="93">
        <f aca="true" t="shared" si="7" ref="F54:M54">SUM(F51:F53)</f>
        <v>391.51599999999996</v>
      </c>
      <c r="G54" s="93">
        <f t="shared" si="7"/>
        <v>519.3149999999998</v>
      </c>
      <c r="H54" s="93">
        <f t="shared" si="7"/>
        <v>687.1684069001276</v>
      </c>
      <c r="I54" s="108">
        <f t="shared" si="7"/>
        <v>859.8479527325622</v>
      </c>
      <c r="J54" s="108">
        <f t="shared" si="7"/>
        <v>1034.7991824275082</v>
      </c>
      <c r="K54" s="108">
        <f t="shared" si="7"/>
        <v>1224.3840425694032</v>
      </c>
      <c r="L54" s="108">
        <f t="shared" si="7"/>
        <v>1427.8552834240431</v>
      </c>
      <c r="M54" s="108">
        <f t="shared" si="7"/>
        <v>1644.1103411770262</v>
      </c>
      <c r="N54" s="50"/>
    </row>
    <row r="55" spans="2:14" ht="15">
      <c r="B55" s="1"/>
      <c r="C55" s="21"/>
      <c r="D55" s="15"/>
      <c r="E55" s="15"/>
      <c r="G55" s="15"/>
      <c r="H55" s="15"/>
      <c r="I55" s="15"/>
      <c r="J55" s="15"/>
      <c r="K55" s="15"/>
      <c r="L55" s="15"/>
      <c r="M55" s="15"/>
      <c r="N55" s="50"/>
    </row>
    <row r="56" spans="2:14" ht="15">
      <c r="B56" s="2" t="s">
        <v>13</v>
      </c>
      <c r="C56" s="21"/>
      <c r="D56" s="15"/>
      <c r="E56" s="15"/>
      <c r="G56" s="15"/>
      <c r="H56" s="15"/>
      <c r="I56" s="15"/>
      <c r="J56" s="15"/>
      <c r="K56" s="15"/>
      <c r="L56" s="15"/>
      <c r="M56" s="15"/>
      <c r="N56" s="50"/>
    </row>
    <row r="57" spans="2:14" ht="15">
      <c r="B57" s="7" t="s">
        <v>60</v>
      </c>
      <c r="C57" s="21"/>
      <c r="D57" s="15"/>
      <c r="E57" s="43"/>
      <c r="F57" s="90">
        <v>201.675</v>
      </c>
      <c r="G57" s="90">
        <v>194.615</v>
      </c>
      <c r="H57" s="90">
        <v>205.14892676269181</v>
      </c>
      <c r="I57" s="105">
        <f>H57-I91-I100</f>
        <v>219.37666560148648</v>
      </c>
      <c r="J57" s="105">
        <f>I57-J91-J100</f>
        <v>235.16945571254854</v>
      </c>
      <c r="K57" s="105">
        <f>J57-K91-K100</f>
        <v>252.54152483471682</v>
      </c>
      <c r="L57" s="105">
        <f>K57-L91-L100</f>
        <v>271.4770801778803</v>
      </c>
      <c r="M57" s="105">
        <f>L57-M91-M100</f>
        <v>291.9274799484968</v>
      </c>
      <c r="N57" s="49"/>
    </row>
    <row r="58" spans="2:14" ht="15">
      <c r="B58" s="34" t="s">
        <v>12</v>
      </c>
      <c r="C58" s="14"/>
      <c r="D58" s="12"/>
      <c r="E58" s="43"/>
      <c r="F58" s="76">
        <v>20.618000000000002</v>
      </c>
      <c r="G58" s="76">
        <v>24.628</v>
      </c>
      <c r="H58" s="76">
        <v>19.628</v>
      </c>
      <c r="I58" s="105">
        <f>H58</f>
        <v>19.628</v>
      </c>
      <c r="J58" s="105">
        <f>I58</f>
        <v>19.628</v>
      </c>
      <c r="K58" s="105">
        <f>J58</f>
        <v>19.628</v>
      </c>
      <c r="L58" s="105">
        <f>K58</f>
        <v>19.628</v>
      </c>
      <c r="M58" s="105">
        <f>L58</f>
        <v>19.628</v>
      </c>
      <c r="N58" s="49"/>
    </row>
    <row r="59" spans="2:14" ht="15">
      <c r="B59" s="3" t="s">
        <v>61</v>
      </c>
      <c r="C59" s="6"/>
      <c r="D59" s="33"/>
      <c r="E59" s="20"/>
      <c r="F59" s="93">
        <f aca="true" t="shared" si="8" ref="F59:M59">SUM(F57:F58)</f>
        <v>222.293</v>
      </c>
      <c r="G59" s="93">
        <f t="shared" si="8"/>
        <v>219.243</v>
      </c>
      <c r="H59" s="93">
        <f t="shared" si="8"/>
        <v>224.7769267626918</v>
      </c>
      <c r="I59" s="108">
        <f t="shared" si="8"/>
        <v>239.00466560148647</v>
      </c>
      <c r="J59" s="108">
        <f t="shared" si="8"/>
        <v>254.79745571254853</v>
      </c>
      <c r="K59" s="108">
        <f t="shared" si="8"/>
        <v>272.1695248347168</v>
      </c>
      <c r="L59" s="108">
        <f t="shared" si="8"/>
        <v>291.10508017788027</v>
      </c>
      <c r="M59" s="108">
        <f t="shared" si="8"/>
        <v>311.5554799484968</v>
      </c>
      <c r="N59" s="50"/>
    </row>
    <row r="60" spans="2:14" ht="15">
      <c r="B60" s="23"/>
      <c r="C60" s="14"/>
      <c r="D60" s="12"/>
      <c r="E60" s="12"/>
      <c r="G60" s="12"/>
      <c r="H60" s="12"/>
      <c r="I60" s="12"/>
      <c r="J60" s="12"/>
      <c r="K60" s="12"/>
      <c r="L60" s="12"/>
      <c r="M60" s="12"/>
      <c r="N60" s="51"/>
    </row>
    <row r="61" spans="2:14" ht="15">
      <c r="B61" s="99" t="s">
        <v>6</v>
      </c>
      <c r="C61" s="14"/>
      <c r="D61" s="12"/>
      <c r="E61" s="12"/>
      <c r="F61" s="101">
        <f aca="true" t="shared" si="9" ref="F61:M61">F59+F54</f>
        <v>613.809</v>
      </c>
      <c r="G61" s="101">
        <f t="shared" si="9"/>
        <v>738.5579999999998</v>
      </c>
      <c r="H61" s="91">
        <f t="shared" si="9"/>
        <v>911.9453336628194</v>
      </c>
      <c r="I61" s="91">
        <f t="shared" si="9"/>
        <v>1098.8526183340487</v>
      </c>
      <c r="J61" s="91">
        <f t="shared" si="9"/>
        <v>1289.5966381400567</v>
      </c>
      <c r="K61" s="91">
        <f t="shared" si="9"/>
        <v>1496.55356740412</v>
      </c>
      <c r="L61" s="91">
        <f t="shared" si="9"/>
        <v>1718.9603636019233</v>
      </c>
      <c r="M61" s="91">
        <f t="shared" si="9"/>
        <v>1955.665821125523</v>
      </c>
      <c r="N61" s="51"/>
    </row>
    <row r="62" spans="2:14" ht="15">
      <c r="B62" s="23"/>
      <c r="C62" s="14"/>
      <c r="D62" s="12"/>
      <c r="E62" s="12"/>
      <c r="G62" s="12"/>
      <c r="H62" s="12"/>
      <c r="I62" s="12"/>
      <c r="J62" s="12"/>
      <c r="K62" s="12"/>
      <c r="L62" s="12"/>
      <c r="M62" s="12"/>
      <c r="N62" s="51"/>
    </row>
    <row r="63" spans="2:14" ht="15">
      <c r="B63" s="35" t="s">
        <v>15</v>
      </c>
      <c r="C63" s="36"/>
      <c r="D63" s="37"/>
      <c r="E63" s="37"/>
      <c r="F63" s="121"/>
      <c r="G63" s="37"/>
      <c r="H63" s="37"/>
      <c r="I63" s="45"/>
      <c r="J63" s="45"/>
      <c r="K63" s="45"/>
      <c r="L63" s="45"/>
      <c r="M63" s="45"/>
      <c r="N63" s="52"/>
    </row>
    <row r="64" spans="2:14" ht="15">
      <c r="B64" s="2" t="s">
        <v>16</v>
      </c>
      <c r="C64" s="21"/>
      <c r="D64" s="15"/>
      <c r="E64" s="15"/>
      <c r="G64" s="15"/>
      <c r="H64" s="15"/>
      <c r="I64" s="15"/>
      <c r="J64" s="15"/>
      <c r="K64" s="15"/>
      <c r="L64" s="15"/>
      <c r="M64" s="15"/>
      <c r="N64" s="50"/>
    </row>
    <row r="65" spans="2:14" ht="15">
      <c r="B65" s="7" t="s">
        <v>17</v>
      </c>
      <c r="C65" s="21"/>
      <c r="D65" s="15"/>
      <c r="E65" s="43"/>
      <c r="F65" s="90">
        <v>119.719</v>
      </c>
      <c r="G65" s="90">
        <v>127.733</v>
      </c>
      <c r="H65" s="90">
        <v>134.92033366281944</v>
      </c>
      <c r="I65" s="105">
        <f>I32*I22</f>
        <v>159.70830916549602</v>
      </c>
      <c r="J65" s="105">
        <f>J32*J22</f>
        <v>177.27622317370063</v>
      </c>
      <c r="K65" s="105">
        <f>K32*K22</f>
        <v>195.00384549107068</v>
      </c>
      <c r="L65" s="105">
        <f>L32*L22</f>
        <v>212.5541915852671</v>
      </c>
      <c r="M65" s="105">
        <f>M32*M22</f>
        <v>229.55852691208844</v>
      </c>
      <c r="N65" s="49"/>
    </row>
    <row r="66" spans="2:14" ht="15">
      <c r="B66" s="7" t="s">
        <v>62</v>
      </c>
      <c r="C66" s="21"/>
      <c r="D66" s="15"/>
      <c r="E66" s="43"/>
      <c r="F66" s="90">
        <v>87.938</v>
      </c>
      <c r="G66" s="90">
        <v>107.61</v>
      </c>
      <c r="H66" s="90">
        <v>107.80596009889318</v>
      </c>
      <c r="I66" s="105">
        <f>I35*I23</f>
        <v>126.44094308906163</v>
      </c>
      <c r="J66" s="105">
        <f>J35*J23</f>
        <v>140.34944682885842</v>
      </c>
      <c r="K66" s="105">
        <f>K35*K23</f>
        <v>154.38439151174427</v>
      </c>
      <c r="L66" s="105">
        <f>L35*L23</f>
        <v>168.27898674780127</v>
      </c>
      <c r="M66" s="105">
        <f>M35*M23</f>
        <v>181.7413056876254</v>
      </c>
      <c r="N66" s="49"/>
    </row>
    <row r="67" spans="2:14" ht="15">
      <c r="B67" s="3" t="s">
        <v>18</v>
      </c>
      <c r="C67" s="24"/>
      <c r="D67" s="24"/>
      <c r="E67" s="20"/>
      <c r="F67" s="93">
        <f aca="true" t="shared" si="10" ref="F67:M67">SUM(F65:F66)</f>
        <v>207.65699999999998</v>
      </c>
      <c r="G67" s="93">
        <f t="shared" si="10"/>
        <v>235.34300000000002</v>
      </c>
      <c r="H67" s="93">
        <f t="shared" si="10"/>
        <v>242.7262937617126</v>
      </c>
      <c r="I67" s="108">
        <f t="shared" si="10"/>
        <v>286.14925225455767</v>
      </c>
      <c r="J67" s="108">
        <f t="shared" si="10"/>
        <v>317.62567000255905</v>
      </c>
      <c r="K67" s="108">
        <f t="shared" si="10"/>
        <v>349.38823700281495</v>
      </c>
      <c r="L67" s="108">
        <f t="shared" si="10"/>
        <v>380.83317833306836</v>
      </c>
      <c r="M67" s="108">
        <f t="shared" si="10"/>
        <v>411.29983259971385</v>
      </c>
      <c r="N67" s="50"/>
    </row>
    <row r="68" spans="2:14" ht="15">
      <c r="B68" s="1"/>
      <c r="C68" s="18"/>
      <c r="D68" s="18"/>
      <c r="E68" s="18"/>
      <c r="G68" s="18"/>
      <c r="H68" s="18"/>
      <c r="I68" s="18"/>
      <c r="J68" s="18"/>
      <c r="K68" s="18"/>
      <c r="L68" s="18"/>
      <c r="M68" s="18"/>
      <c r="N68" s="17"/>
    </row>
    <row r="69" spans="2:14" ht="15">
      <c r="B69" s="2" t="s">
        <v>19</v>
      </c>
      <c r="C69" s="18"/>
      <c r="D69" s="18"/>
      <c r="E69" s="18"/>
      <c r="G69" s="18"/>
      <c r="H69" s="18"/>
      <c r="I69" s="18"/>
      <c r="J69" s="18"/>
      <c r="K69" s="18"/>
      <c r="L69" s="18"/>
      <c r="M69" s="18"/>
      <c r="N69" s="17"/>
    </row>
    <row r="70" spans="2:14" ht="15">
      <c r="B70" s="7" t="s">
        <v>51</v>
      </c>
      <c r="C70" s="18"/>
      <c r="D70" s="18"/>
      <c r="E70" s="43"/>
      <c r="F70" s="90">
        <v>100</v>
      </c>
      <c r="G70" s="90">
        <v>49.229</v>
      </c>
      <c r="H70" s="90">
        <v>24.229</v>
      </c>
      <c r="I70" s="105">
        <f aca="true" t="shared" si="11" ref="I70:M71">H70</f>
        <v>24.229</v>
      </c>
      <c r="J70" s="105">
        <f t="shared" si="11"/>
        <v>24.229</v>
      </c>
      <c r="K70" s="105">
        <f t="shared" si="11"/>
        <v>24.229</v>
      </c>
      <c r="L70" s="105">
        <f t="shared" si="11"/>
        <v>24.229</v>
      </c>
      <c r="M70" s="105">
        <f t="shared" si="11"/>
        <v>24.229</v>
      </c>
      <c r="N70" s="49"/>
    </row>
    <row r="71" spans="2:14" ht="15">
      <c r="B71" s="7" t="s">
        <v>20</v>
      </c>
      <c r="C71" s="18"/>
      <c r="D71" s="18"/>
      <c r="E71" s="43"/>
      <c r="F71" s="76">
        <v>81.203</v>
      </c>
      <c r="G71" s="76">
        <v>78.108</v>
      </c>
      <c r="H71" s="76">
        <v>82.91203990110671</v>
      </c>
      <c r="I71" s="105">
        <f t="shared" si="11"/>
        <v>82.91203990110671</v>
      </c>
      <c r="J71" s="105">
        <f t="shared" si="11"/>
        <v>82.91203990110671</v>
      </c>
      <c r="K71" s="105">
        <f t="shared" si="11"/>
        <v>82.91203990110671</v>
      </c>
      <c r="L71" s="105">
        <f t="shared" si="11"/>
        <v>82.91203990110671</v>
      </c>
      <c r="M71" s="105">
        <f t="shared" si="11"/>
        <v>82.91203990110671</v>
      </c>
      <c r="N71" s="49"/>
    </row>
    <row r="72" spans="2:14" ht="15">
      <c r="B72" s="3" t="s">
        <v>63</v>
      </c>
      <c r="C72" s="24"/>
      <c r="D72" s="24"/>
      <c r="E72" s="20"/>
      <c r="F72" s="93">
        <f aca="true" t="shared" si="12" ref="F72:M72">SUM(F70:F71)</f>
        <v>181.203</v>
      </c>
      <c r="G72" s="93">
        <f t="shared" si="12"/>
        <v>127.337</v>
      </c>
      <c r="H72" s="93">
        <f t="shared" si="12"/>
        <v>107.14103990110671</v>
      </c>
      <c r="I72" s="108">
        <f t="shared" si="12"/>
        <v>107.14103990110671</v>
      </c>
      <c r="J72" s="108">
        <f t="shared" si="12"/>
        <v>107.14103990110671</v>
      </c>
      <c r="K72" s="108">
        <f t="shared" si="12"/>
        <v>107.14103990110671</v>
      </c>
      <c r="L72" s="108">
        <f t="shared" si="12"/>
        <v>107.14103990110671</v>
      </c>
      <c r="M72" s="108">
        <f t="shared" si="12"/>
        <v>107.14103990110671</v>
      </c>
      <c r="N72" s="50"/>
    </row>
    <row r="73" spans="2:14" ht="15">
      <c r="B73" s="1"/>
      <c r="C73" s="18"/>
      <c r="D73" s="18"/>
      <c r="E73" s="18"/>
      <c r="G73" s="18"/>
      <c r="H73" s="18"/>
      <c r="I73" s="18"/>
      <c r="J73" s="18"/>
      <c r="K73" s="18"/>
      <c r="L73" s="18"/>
      <c r="M73" s="18"/>
      <c r="N73" s="17"/>
    </row>
    <row r="74" spans="2:14" ht="15">
      <c r="B74" s="2" t="s">
        <v>21</v>
      </c>
      <c r="C74" s="18"/>
      <c r="D74" s="18"/>
      <c r="E74" s="18"/>
      <c r="F74" s="101">
        <f aca="true" t="shared" si="13" ref="F74:M74">F72+F67</f>
        <v>388.86</v>
      </c>
      <c r="G74" s="101">
        <f t="shared" si="13"/>
        <v>362.68</v>
      </c>
      <c r="H74" s="91">
        <f t="shared" si="13"/>
        <v>349.8673336628193</v>
      </c>
      <c r="I74" s="91">
        <f t="shared" si="13"/>
        <v>393.29029215566436</v>
      </c>
      <c r="J74" s="91">
        <f t="shared" si="13"/>
        <v>424.76670990366574</v>
      </c>
      <c r="K74" s="91">
        <f t="shared" si="13"/>
        <v>456.52927690392164</v>
      </c>
      <c r="L74" s="91">
        <f t="shared" si="13"/>
        <v>487.97421823417505</v>
      </c>
      <c r="M74" s="91">
        <f t="shared" si="13"/>
        <v>518.4408725008205</v>
      </c>
      <c r="N74" s="17"/>
    </row>
    <row r="75" spans="2:14" ht="15">
      <c r="B75" s="1"/>
      <c r="C75" s="18"/>
      <c r="D75" s="18"/>
      <c r="E75" s="18"/>
      <c r="G75" s="18"/>
      <c r="H75" s="18"/>
      <c r="I75" s="18"/>
      <c r="J75" s="18"/>
      <c r="K75" s="18"/>
      <c r="L75" s="18"/>
      <c r="M75" s="18"/>
      <c r="N75" s="17"/>
    </row>
    <row r="76" spans="2:14" ht="15">
      <c r="B76" s="2" t="s">
        <v>22</v>
      </c>
      <c r="C76" s="18"/>
      <c r="D76" s="18"/>
      <c r="E76" s="18"/>
      <c r="G76" s="18"/>
      <c r="H76" s="18"/>
      <c r="I76" s="18"/>
      <c r="J76" s="18"/>
      <c r="K76" s="18"/>
      <c r="L76" s="18"/>
      <c r="M76" s="18"/>
      <c r="N76" s="17"/>
    </row>
    <row r="77" spans="2:14" ht="15">
      <c r="B77" s="7" t="s">
        <v>64</v>
      </c>
      <c r="C77" s="18"/>
      <c r="D77" s="18"/>
      <c r="E77" s="43"/>
      <c r="F77" s="90">
        <v>585.64</v>
      </c>
      <c r="G77" s="90">
        <v>614.032</v>
      </c>
      <c r="H77" s="90">
        <v>631.032</v>
      </c>
      <c r="I77" s="105">
        <f aca="true" t="shared" si="14" ref="I77:M78">H77</f>
        <v>631.032</v>
      </c>
      <c r="J77" s="105">
        <f t="shared" si="14"/>
        <v>631.032</v>
      </c>
      <c r="K77" s="105">
        <f t="shared" si="14"/>
        <v>631.032</v>
      </c>
      <c r="L77" s="105">
        <f t="shared" si="14"/>
        <v>631.032</v>
      </c>
      <c r="M77" s="105">
        <f t="shared" si="14"/>
        <v>631.032</v>
      </c>
      <c r="N77" s="49"/>
    </row>
    <row r="78" spans="2:14" ht="15">
      <c r="B78" s="7" t="s">
        <v>23</v>
      </c>
      <c r="C78" s="18"/>
      <c r="D78" s="18"/>
      <c r="E78" s="43"/>
      <c r="F78" s="90">
        <v>-3.6</v>
      </c>
      <c r="G78" s="90">
        <v>-4.423</v>
      </c>
      <c r="H78" s="90">
        <v>-4.423</v>
      </c>
      <c r="I78" s="105">
        <f t="shared" si="14"/>
        <v>-4.423</v>
      </c>
      <c r="J78" s="105">
        <f t="shared" si="14"/>
        <v>-4.423</v>
      </c>
      <c r="K78" s="105">
        <f t="shared" si="14"/>
        <v>-4.423</v>
      </c>
      <c r="L78" s="105">
        <f t="shared" si="14"/>
        <v>-4.423</v>
      </c>
      <c r="M78" s="105">
        <f t="shared" si="14"/>
        <v>-4.423</v>
      </c>
      <c r="N78" s="49"/>
    </row>
    <row r="79" spans="2:14" ht="15">
      <c r="B79" s="7" t="s">
        <v>24</v>
      </c>
      <c r="C79" s="18"/>
      <c r="D79" s="18"/>
      <c r="E79" s="43"/>
      <c r="F79" s="76">
        <v>-357.091</v>
      </c>
      <c r="G79" s="76">
        <v>-233.731</v>
      </c>
      <c r="H79" s="76">
        <v>-64.53099999999995</v>
      </c>
      <c r="I79" s="105">
        <f>H79+I90</f>
        <v>78.95332617838437</v>
      </c>
      <c r="J79" s="105">
        <f>I79+J90</f>
        <v>238.220928236391</v>
      </c>
      <c r="K79" s="105">
        <f>J79+K90</f>
        <v>413.41529050019835</v>
      </c>
      <c r="L79" s="105">
        <f>K79+L90</f>
        <v>604.3771453677484</v>
      </c>
      <c r="M79" s="105">
        <f>L79+M90</f>
        <v>810.6159486247025</v>
      </c>
      <c r="N79" s="49"/>
    </row>
    <row r="80" spans="2:14" ht="15">
      <c r="B80" s="3" t="s">
        <v>25</v>
      </c>
      <c r="C80" s="24"/>
      <c r="D80" s="24"/>
      <c r="E80" s="20"/>
      <c r="F80" s="101">
        <f aca="true" t="shared" si="15" ref="F80:M80">SUM(F77:F79)</f>
        <v>224.94899999999996</v>
      </c>
      <c r="G80" s="101">
        <f t="shared" si="15"/>
        <v>375.87800000000004</v>
      </c>
      <c r="H80" s="98">
        <f t="shared" si="15"/>
        <v>562.0780000000001</v>
      </c>
      <c r="I80" s="98">
        <f t="shared" si="15"/>
        <v>705.5623261783844</v>
      </c>
      <c r="J80" s="98">
        <f t="shared" si="15"/>
        <v>864.829928236391</v>
      </c>
      <c r="K80" s="98">
        <f t="shared" si="15"/>
        <v>1040.0242905001983</v>
      </c>
      <c r="L80" s="98">
        <f t="shared" si="15"/>
        <v>1230.9861453677486</v>
      </c>
      <c r="M80" s="98">
        <f t="shared" si="15"/>
        <v>1437.2249486247024</v>
      </c>
      <c r="N80" s="50"/>
    </row>
    <row r="81" spans="2:14" ht="15">
      <c r="B81" s="1"/>
      <c r="C81" s="18"/>
      <c r="D81" s="18"/>
      <c r="E81" s="18"/>
      <c r="G81" s="111"/>
      <c r="H81" s="18"/>
      <c r="I81" s="18"/>
      <c r="J81" s="18"/>
      <c r="K81" s="18"/>
      <c r="L81" s="18"/>
      <c r="M81" s="18"/>
      <c r="N81" s="17"/>
    </row>
    <row r="82" spans="2:14" ht="15">
      <c r="B82" s="5" t="s">
        <v>9</v>
      </c>
      <c r="C82" s="19"/>
      <c r="D82" s="19"/>
      <c r="E82" s="38"/>
      <c r="F82" s="102">
        <f aca="true" t="shared" si="16" ref="F82:M82">F80+F74</f>
        <v>613.809</v>
      </c>
      <c r="G82" s="102">
        <f t="shared" si="16"/>
        <v>738.558</v>
      </c>
      <c r="H82" s="113">
        <f t="shared" si="16"/>
        <v>911.9453336628194</v>
      </c>
      <c r="I82" s="113">
        <f t="shared" si="16"/>
        <v>1098.8526183340487</v>
      </c>
      <c r="J82" s="113">
        <f t="shared" si="16"/>
        <v>1289.5966381400567</v>
      </c>
      <c r="K82" s="113">
        <f t="shared" si="16"/>
        <v>1496.5535674041198</v>
      </c>
      <c r="L82" s="113">
        <f t="shared" si="16"/>
        <v>1718.9603636019237</v>
      </c>
      <c r="M82" s="113">
        <f t="shared" si="16"/>
        <v>1955.665821125523</v>
      </c>
      <c r="N82" s="53"/>
    </row>
    <row r="83" ht="15">
      <c r="J83" s="112"/>
    </row>
    <row r="84" spans="2:14" ht="15">
      <c r="B84" s="27" t="s">
        <v>43</v>
      </c>
      <c r="F84" s="112">
        <f aca="true" t="shared" si="17" ref="F84:M84">F61-F82</f>
        <v>0</v>
      </c>
      <c r="G84" s="112">
        <f t="shared" si="17"/>
        <v>0</v>
      </c>
      <c r="H84" s="112">
        <f t="shared" si="17"/>
        <v>0</v>
      </c>
      <c r="I84" s="114">
        <f t="shared" si="17"/>
        <v>0</v>
      </c>
      <c r="J84" s="114">
        <f t="shared" si="17"/>
        <v>0</v>
      </c>
      <c r="K84" s="114">
        <f t="shared" si="17"/>
        <v>0</v>
      </c>
      <c r="L84" s="114">
        <f t="shared" si="17"/>
        <v>0</v>
      </c>
      <c r="M84" s="114">
        <f t="shared" si="17"/>
        <v>0</v>
      </c>
      <c r="N84" s="80"/>
    </row>
    <row r="86" spans="2:14" ht="15">
      <c r="B86" s="68" t="s">
        <v>26</v>
      </c>
      <c r="C86" s="28"/>
      <c r="D86" s="28"/>
      <c r="E86" s="29"/>
      <c r="F86" s="29"/>
      <c r="G86" s="29"/>
      <c r="H86" s="29"/>
      <c r="I86" s="29"/>
      <c r="J86" s="29"/>
      <c r="K86" s="29"/>
      <c r="L86" s="29"/>
      <c r="M86" s="29"/>
      <c r="N86" s="30"/>
    </row>
    <row r="87" spans="2:14" ht="15">
      <c r="B87" s="1"/>
      <c r="C87" s="18"/>
      <c r="F87" s="118"/>
      <c r="G87" s="119"/>
      <c r="H87" s="119"/>
      <c r="I87" s="78" t="str">
        <f>$I$11</f>
        <v>Projected</v>
      </c>
      <c r="J87" s="78"/>
      <c r="K87" s="78"/>
      <c r="L87" s="78"/>
      <c r="M87" s="78"/>
      <c r="N87" s="86"/>
    </row>
    <row r="88" spans="2:14" ht="15">
      <c r="B88" s="1"/>
      <c r="C88" s="18"/>
      <c r="F88" s="120"/>
      <c r="G88" s="120"/>
      <c r="H88" s="120"/>
      <c r="I88" s="85">
        <f>$I$12</f>
        <v>40939</v>
      </c>
      <c r="J88" s="85">
        <f>$J$12</f>
        <v>41305</v>
      </c>
      <c r="K88" s="85">
        <f>$K$12</f>
        <v>41670</v>
      </c>
      <c r="L88" s="85">
        <f>$L$12</f>
        <v>42035</v>
      </c>
      <c r="M88" s="85">
        <f>$M$12</f>
        <v>42400</v>
      </c>
      <c r="N88" s="65"/>
    </row>
    <row r="89" spans="2:14" ht="15">
      <c r="B89" s="25"/>
      <c r="C89" s="39"/>
      <c r="D89" s="40"/>
      <c r="E89" s="40"/>
      <c r="H89" s="81"/>
      <c r="I89" s="18"/>
      <c r="M89" s="18"/>
      <c r="N89" s="17"/>
    </row>
    <row r="90" spans="2:14" ht="15">
      <c r="B90" s="2" t="s">
        <v>7</v>
      </c>
      <c r="F90" s="104"/>
      <c r="G90" s="104"/>
      <c r="H90" s="104"/>
      <c r="I90" s="104">
        <f>I43</f>
        <v>143.48432617838432</v>
      </c>
      <c r="J90" s="104">
        <f>J43</f>
        <v>159.26760205800662</v>
      </c>
      <c r="K90" s="104">
        <f>K43</f>
        <v>175.19436226380736</v>
      </c>
      <c r="L90" s="104">
        <f>L43</f>
        <v>190.96185486755002</v>
      </c>
      <c r="M90" s="104">
        <f>M43</f>
        <v>206.23880325695401</v>
      </c>
      <c r="N90" s="50"/>
    </row>
    <row r="91" spans="2:14" ht="15">
      <c r="B91" s="7" t="s">
        <v>56</v>
      </c>
      <c r="C91" s="18"/>
      <c r="D91" s="18"/>
      <c r="E91" s="26"/>
      <c r="F91" s="105"/>
      <c r="G91" s="105"/>
      <c r="H91" s="105"/>
      <c r="I91" s="105">
        <f>I36</f>
        <v>67.9062591354201</v>
      </c>
      <c r="J91" s="105">
        <f>J36</f>
        <v>75.37594764031633</v>
      </c>
      <c r="K91" s="105">
        <f>K36</f>
        <v>82.91354240434795</v>
      </c>
      <c r="L91" s="105">
        <f>L36</f>
        <v>90.37576122073928</v>
      </c>
      <c r="M91" s="105">
        <f>M36</f>
        <v>97.60582211839844</v>
      </c>
      <c r="N91" s="49"/>
    </row>
    <row r="92" spans="2:14" ht="15">
      <c r="B92" s="10" t="s">
        <v>27</v>
      </c>
      <c r="C92" s="18"/>
      <c r="D92" s="18"/>
      <c r="E92" s="21"/>
      <c r="F92" s="16"/>
      <c r="G92" s="16"/>
      <c r="H92" s="16"/>
      <c r="I92" s="16"/>
      <c r="J92" s="16"/>
      <c r="K92" s="16"/>
      <c r="L92" s="16"/>
      <c r="M92" s="16"/>
      <c r="N92" s="49"/>
    </row>
    <row r="93" spans="2:14" ht="15">
      <c r="B93" s="7" t="s">
        <v>58</v>
      </c>
      <c r="C93" s="18"/>
      <c r="D93" s="18"/>
      <c r="E93" s="21"/>
      <c r="F93" s="90"/>
      <c r="G93" s="90"/>
      <c r="H93" s="105"/>
      <c r="I93" s="105">
        <f aca="true" t="shared" si="18" ref="I93:M94">H52-I52</f>
        <v>-37.79778983655888</v>
      </c>
      <c r="J93" s="105">
        <f t="shared" si="18"/>
        <v>-26.78832410001192</v>
      </c>
      <c r="K93" s="105">
        <f t="shared" si="18"/>
        <v>-27.031854319102877</v>
      </c>
      <c r="L93" s="105">
        <f t="shared" si="18"/>
        <v>-26.76153577591191</v>
      </c>
      <c r="M93" s="105">
        <f t="shared" si="18"/>
        <v>-25.928954662883484</v>
      </c>
      <c r="N93" s="49"/>
    </row>
    <row r="94" spans="2:14" ht="15">
      <c r="B94" s="7" t="s">
        <v>59</v>
      </c>
      <c r="C94" s="18"/>
      <c r="D94" s="18"/>
      <c r="E94" s="21"/>
      <c r="F94" s="90"/>
      <c r="G94" s="90"/>
      <c r="H94" s="105"/>
      <c r="I94" s="105">
        <f t="shared" si="18"/>
        <v>-8.612009689639017</v>
      </c>
      <c r="J94" s="105">
        <f t="shared" si="18"/>
        <v>-6.380039919750239</v>
      </c>
      <c r="K94" s="105">
        <f t="shared" si="18"/>
        <v>-6.4380402826570275</v>
      </c>
      <c r="L94" s="105">
        <f t="shared" si="18"/>
        <v>-6.373659879830484</v>
      </c>
      <c r="M94" s="105">
        <f t="shared" si="18"/>
        <v>-6.175368239124651</v>
      </c>
      <c r="N94" s="49"/>
    </row>
    <row r="95" spans="2:14" ht="15">
      <c r="B95" s="34" t="s">
        <v>12</v>
      </c>
      <c r="C95" s="18"/>
      <c r="D95" s="18"/>
      <c r="E95" s="21"/>
      <c r="F95" s="90"/>
      <c r="G95" s="90"/>
      <c r="H95" s="105"/>
      <c r="I95" s="105">
        <f>H58-I58</f>
        <v>0</v>
      </c>
      <c r="J95" s="105">
        <f>I58-J58</f>
        <v>0</v>
      </c>
      <c r="K95" s="105">
        <f>J58-K58</f>
        <v>0</v>
      </c>
      <c r="L95" s="105">
        <f>K58-L58</f>
        <v>0</v>
      </c>
      <c r="M95" s="105">
        <f>L58-M58</f>
        <v>0</v>
      </c>
      <c r="N95" s="49"/>
    </row>
    <row r="96" spans="2:14" ht="15">
      <c r="B96" s="7" t="s">
        <v>65</v>
      </c>
      <c r="C96" s="18"/>
      <c r="D96" s="18"/>
      <c r="E96" s="21"/>
      <c r="F96" s="90"/>
      <c r="G96" s="90"/>
      <c r="H96" s="105"/>
      <c r="I96" s="105">
        <f>I65-H65</f>
        <v>24.787975502676574</v>
      </c>
      <c r="J96" s="105">
        <f>J65-I65</f>
        <v>17.56791400820461</v>
      </c>
      <c r="K96" s="105">
        <f>K65-J65</f>
        <v>17.72762231737005</v>
      </c>
      <c r="L96" s="105">
        <f>L65-K65</f>
        <v>17.550346094196414</v>
      </c>
      <c r="M96" s="105">
        <f>M65-L65</f>
        <v>17.004335326821348</v>
      </c>
      <c r="N96" s="49"/>
    </row>
    <row r="97" spans="2:14" ht="15">
      <c r="B97" s="7" t="s">
        <v>28</v>
      </c>
      <c r="C97" s="18"/>
      <c r="D97" s="18"/>
      <c r="E97" s="21"/>
      <c r="F97" s="90"/>
      <c r="G97" s="90"/>
      <c r="H97" s="76"/>
      <c r="I97" s="105">
        <f>I66-H66+I71-H71</f>
        <v>18.634982990168453</v>
      </c>
      <c r="J97" s="105">
        <f>J66-I66+J71-I71</f>
        <v>13.908503739796785</v>
      </c>
      <c r="K97" s="105">
        <f>K66-J66+K71-J71</f>
        <v>14.03494468288585</v>
      </c>
      <c r="L97" s="105">
        <f>L66-K66+L71-K71</f>
        <v>13.894595236057</v>
      </c>
      <c r="M97" s="105">
        <f>M66-L66+M71-L71</f>
        <v>13.462318939824144</v>
      </c>
      <c r="N97" s="49"/>
    </row>
    <row r="98" spans="2:14" ht="15">
      <c r="B98" s="11" t="s">
        <v>29</v>
      </c>
      <c r="C98" s="24"/>
      <c r="D98" s="24"/>
      <c r="E98" s="42"/>
      <c r="F98" s="108"/>
      <c r="G98" s="108"/>
      <c r="H98" s="108"/>
      <c r="I98" s="108">
        <f>SUM(I90:I97)</f>
        <v>208.40374428045155</v>
      </c>
      <c r="J98" s="108">
        <f>SUM(J90:J97)</f>
        <v>232.9516034265622</v>
      </c>
      <c r="K98" s="108">
        <f>SUM(K90:K97)</f>
        <v>256.4005770666513</v>
      </c>
      <c r="L98" s="108">
        <f>SUM(L90:L97)</f>
        <v>279.6473617628003</v>
      </c>
      <c r="M98" s="108">
        <f>SUM(M90:M97)</f>
        <v>302.2069567399898</v>
      </c>
      <c r="N98" s="50"/>
    </row>
    <row r="99" spans="2:14" ht="15">
      <c r="B99" s="62"/>
      <c r="C99" s="18"/>
      <c r="D99" s="18"/>
      <c r="E99" s="21"/>
      <c r="F99" s="16"/>
      <c r="G99" s="16"/>
      <c r="H99" s="16"/>
      <c r="I99" s="16"/>
      <c r="J99" s="16"/>
      <c r="K99" s="16"/>
      <c r="L99" s="16"/>
      <c r="M99" s="16"/>
      <c r="N99" s="49"/>
    </row>
    <row r="100" spans="2:14" ht="15">
      <c r="B100" s="7" t="s">
        <v>30</v>
      </c>
      <c r="C100" s="18"/>
      <c r="D100" s="18"/>
      <c r="E100" s="18"/>
      <c r="F100" s="109"/>
      <c r="G100" s="109"/>
      <c r="H100" s="117"/>
      <c r="I100" s="107">
        <f>-I31*I25</f>
        <v>-82.13399797421475</v>
      </c>
      <c r="J100" s="107">
        <f>-J31*J25</f>
        <v>-91.16873775137839</v>
      </c>
      <c r="K100" s="107">
        <f>-K31*K25</f>
        <v>-100.28561152651623</v>
      </c>
      <c r="L100" s="107">
        <f>-L31*L25</f>
        <v>-109.31131656390271</v>
      </c>
      <c r="M100" s="107">
        <f>-M31*M25</f>
        <v>-118.05622188901494</v>
      </c>
      <c r="N100" s="55"/>
    </row>
    <row r="101" spans="2:14" ht="15">
      <c r="B101" s="11" t="s">
        <v>31</v>
      </c>
      <c r="C101" s="24"/>
      <c r="D101" s="24"/>
      <c r="E101" s="24"/>
      <c r="F101" s="93"/>
      <c r="G101" s="93"/>
      <c r="H101" s="93"/>
      <c r="I101" s="93">
        <f>SUM(I100)</f>
        <v>-82.13399797421475</v>
      </c>
      <c r="J101" s="93">
        <f>SUM(J100)</f>
        <v>-91.16873775137839</v>
      </c>
      <c r="K101" s="93">
        <f>SUM(K100)</f>
        <v>-100.28561152651623</v>
      </c>
      <c r="L101" s="93">
        <f>SUM(L100)</f>
        <v>-109.31131656390271</v>
      </c>
      <c r="M101" s="93">
        <f>SUM(M100)</f>
        <v>-118.05622188901494</v>
      </c>
      <c r="N101" s="55"/>
    </row>
    <row r="102" spans="2:14" ht="15">
      <c r="B102" s="10"/>
      <c r="C102" s="18"/>
      <c r="D102" s="18"/>
      <c r="E102" s="18"/>
      <c r="F102" s="92"/>
      <c r="G102" s="92"/>
      <c r="H102" s="18"/>
      <c r="I102" s="48"/>
      <c r="J102" s="48"/>
      <c r="K102" s="48"/>
      <c r="L102" s="48"/>
      <c r="M102" s="48"/>
      <c r="N102" s="55"/>
    </row>
    <row r="103" spans="2:14" ht="15">
      <c r="B103" s="82" t="s">
        <v>52</v>
      </c>
      <c r="C103" s="18"/>
      <c r="D103" s="18"/>
      <c r="E103" s="18"/>
      <c r="F103" s="100"/>
      <c r="G103" s="100"/>
      <c r="H103" s="92"/>
      <c r="I103" s="92">
        <f>I101+I98</f>
        <v>126.2697463062368</v>
      </c>
      <c r="J103" s="92">
        <f>J101+J98</f>
        <v>141.7828656751838</v>
      </c>
      <c r="K103" s="92">
        <f>K101+K98</f>
        <v>156.11496554013507</v>
      </c>
      <c r="L103" s="92">
        <f>L101+L98</f>
        <v>170.33604519889758</v>
      </c>
      <c r="M103" s="92">
        <f>M101+M98</f>
        <v>184.15073485097486</v>
      </c>
      <c r="N103" s="13"/>
    </row>
    <row r="104" spans="2:14" ht="15">
      <c r="B104" s="7"/>
      <c r="C104" s="18"/>
      <c r="D104" s="18"/>
      <c r="E104" s="18"/>
      <c r="H104" s="18"/>
      <c r="I104" s="48"/>
      <c r="J104" s="63"/>
      <c r="K104" s="63"/>
      <c r="L104" s="63"/>
      <c r="M104" s="48"/>
      <c r="N104" s="55"/>
    </row>
    <row r="105" spans="2:14" ht="15">
      <c r="B105" s="7" t="s">
        <v>49</v>
      </c>
      <c r="C105" s="18"/>
      <c r="D105" s="18"/>
      <c r="E105" s="18"/>
      <c r="F105" s="90"/>
      <c r="G105" s="105"/>
      <c r="H105" s="105"/>
      <c r="I105" s="106">
        <f>H51</f>
        <v>432.0476244284883</v>
      </c>
      <c r="J105" s="106">
        <f>I51</f>
        <v>558.317370734725</v>
      </c>
      <c r="K105" s="106">
        <f>J51</f>
        <v>700.1002364099088</v>
      </c>
      <c r="L105" s="106">
        <f>K51</f>
        <v>856.2152019500438</v>
      </c>
      <c r="M105" s="106">
        <f>L51</f>
        <v>1026.5512471489415</v>
      </c>
      <c r="N105" s="55"/>
    </row>
    <row r="106" spans="2:14" ht="15">
      <c r="B106" s="64" t="s">
        <v>50</v>
      </c>
      <c r="C106" s="19"/>
      <c r="D106" s="19"/>
      <c r="E106" s="19"/>
      <c r="F106" s="103"/>
      <c r="G106" s="103"/>
      <c r="H106" s="103"/>
      <c r="I106" s="102">
        <f>I105+I103</f>
        <v>558.317370734725</v>
      </c>
      <c r="J106" s="102">
        <f>J105+J103</f>
        <v>700.1002364099088</v>
      </c>
      <c r="K106" s="102">
        <f>K105+K103</f>
        <v>856.2152019500438</v>
      </c>
      <c r="L106" s="102">
        <f>L105+L103</f>
        <v>1026.5512471489415</v>
      </c>
      <c r="M106" s="102">
        <f>M105+M103</f>
        <v>1210.7019819999164</v>
      </c>
      <c r="N106" s="56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BIWS</dc:creator>
  <cp:keywords/>
  <dc:description/>
  <cp:lastModifiedBy>David</cp:lastModifiedBy>
  <cp:lastPrinted>2010-12-09T03:25:37Z</cp:lastPrinted>
  <dcterms:created xsi:type="dcterms:W3CDTF">2009-06-26T05:31:17Z</dcterms:created>
  <dcterms:modified xsi:type="dcterms:W3CDTF">2011-01-07T23:28:01Z</dcterms:modified>
  <cp:category/>
  <cp:version/>
  <cp:contentType/>
  <cp:contentStatus/>
</cp:coreProperties>
</file>